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sheets/sheet5.xml" ContentType="application/vnd.openxmlformats-officedocument.spreadsheetml.worksheet+xml"/>
  <Override PartName="/xl/externalLinks/externalLink5.xml" ContentType="application/vnd.openxmlformats-officedocument.spreadsheetml.externalLink+xml"/>
  <Override PartName="/xl/externalLinks/externalLink16.xml" ContentType="application/vnd.openxmlformats-officedocument.spreadsheetml.externalLink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charts/chart7.xml" ContentType="application/vnd.openxmlformats-officedocument.drawingml.chart+xml"/>
  <Override PartName="/xl/worksheets/sheet14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drawings/drawing3.xml" ContentType="application/vnd.openxmlformats-officedocument.drawing+xml"/>
  <Override PartName="/xl/comments5.xml" ContentType="application/vnd.openxmlformats-officedocument.spreadsheetml.comments+xml"/>
  <Override PartName="/xl/charts/chart1.xml" ContentType="application/vnd.openxmlformats-officedocument.drawingml.chart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xWindow="-15" yWindow="-15" windowWidth="15480" windowHeight="6030" tabRatio="665"/>
  </bookViews>
  <sheets>
    <sheet name="Sheet Index" sheetId="13" r:id="rId1"/>
    <sheet name="Conceptos" sheetId="7" r:id="rId2"/>
    <sheet name="Pasos" sheetId="8" r:id="rId3"/>
    <sheet name="CB_DATA_" sheetId="15" state="hidden" r:id="rId4"/>
    <sheet name="Modelo" sheetId="1" r:id="rId5"/>
    <sheet name="Resumen de escenario" sheetId="22" r:id="rId6"/>
    <sheet name="Cto Crédito" sheetId="2" r:id="rId7"/>
    <sheet name="Cto Proveedores" sheetId="3" r:id="rId8"/>
    <sheet name="Cto Patrimonio" sheetId="4" r:id="rId9"/>
    <sheet name="Emergentes" sheetId="10" r:id="rId10"/>
    <sheet name="NODERFELASE" sheetId="14" r:id="rId11"/>
    <sheet name="Tornado" sheetId="19" r:id="rId12"/>
    <sheet name="Spider" sheetId="18" r:id="rId13"/>
    <sheet name="Report" sheetId="20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</externalReferences>
  <definedNames>
    <definedName name="___INDEX_SHEET___ASAP_Utilities" localSheetId="10">#N/A</definedName>
    <definedName name="_Fill" hidden="1">'[6]Costo de Capital'!#REF!</definedName>
    <definedName name="_xlnm._FilterDatabase" localSheetId="9" hidden="1">Emergentes!$B$3:$I$326</definedName>
    <definedName name="_Regression_Out" localSheetId="10" hidden="1">'[20]Costo de Capital'!#REF!</definedName>
    <definedName name="_Regression_Out" hidden="1">'[6]Costo de Capital'!#REF!</definedName>
    <definedName name="aaa">#REF!</definedName>
    <definedName name="ACTIVOS">'[6]Costo de Capital'!#REF!</definedName>
    <definedName name="_xlnm.Print_Area" localSheetId="13">Report!$A$1:$J$124</definedName>
    <definedName name="AUMENTO" localSheetId="9">'[5]Costo Cap y EVA'!#REF!</definedName>
    <definedName name="AUMENTO" localSheetId="10">'[5]Costo Cap y EVA'!#REF!</definedName>
    <definedName name="AUMENTO">'[3]Costo Cap y EVA'!#REF!</definedName>
    <definedName name="Bal_Inic">[14]EMPRESA!$A$145</definedName>
    <definedName name="BALANCE">'[6]Costo de Capital'!#REF!</definedName>
    <definedName name="betasemergantes">Emergentes!$A$3:$I$299</definedName>
    <definedName name="Caja_Año_1">Modelo!$C$80</definedName>
    <definedName name="CALCULO_DEL_COS">'[6]Costo de Capital'!#REF!</definedName>
    <definedName name="CAPEX">Modelo!$B$12</definedName>
    <definedName name="CB_0182d68285d8460aacbeb927c4ae6357" localSheetId="4" hidden="1">Modelo!$B$7</definedName>
    <definedName name="CB_3987d837bbc040c099314758e3ed4c1e" localSheetId="4" hidden="1">Modelo!$B$11</definedName>
    <definedName name="CB_47536c532e9642cfb48320b77214f06b" localSheetId="4" hidden="1">Modelo!$C$80</definedName>
    <definedName name="CB_5e6be5ed78954f0696a194d82528e835" localSheetId="4" hidden="1">Modelo!$B$9</definedName>
    <definedName name="CB_6b2661826ac143f99727f3e27a180815" localSheetId="4" hidden="1">Modelo!$B$21</definedName>
    <definedName name="CB_72860d1d5ab14438af3255cf823480a2" localSheetId="4" hidden="1">Modelo!$B$20</definedName>
    <definedName name="CB_8c9b15bdc21e4fa5a6a78f0eae306a96" localSheetId="4" hidden="1">Modelo!$B$24</definedName>
    <definedName name="CB_a29eedbc45d64cc7a7984456c50fe700" localSheetId="4" hidden="1">Modelo!$B$4</definedName>
    <definedName name="CB_ab0569fae8724fdfb816643e1f3bfe6e" localSheetId="4" hidden="1">Modelo!$B$12</definedName>
    <definedName name="CB_bd8ecd368ad84619af91bd2a4f897646" localSheetId="4" hidden="1">Modelo!$B$152</definedName>
    <definedName name="CB_db9c0af6ce0f4859a7b9fa6898df36a1" localSheetId="4" hidden="1">Modelo!$C$55</definedName>
    <definedName name="CB_e7114e29141f425ba118ded78f717fb9" localSheetId="4" hidden="1">Modelo!$C$116</definedName>
    <definedName name="CB_e9ef0a1942384f8cb8b6fe93c3971e7b" localSheetId="4" hidden="1">Modelo!$B$15</definedName>
    <definedName name="CB_f3e548a4edc84c69a8ccb14392af29cd" localSheetId="4" hidden="1">Modelo!$B$8</definedName>
    <definedName name="CBWorkbookPriority" localSheetId="9" hidden="1">-1883279711</definedName>
    <definedName name="CBWorkbookPriority" localSheetId="10" hidden="1">-1793702336</definedName>
    <definedName name="CBWorkbookPriority" hidden="1">-1491714852</definedName>
    <definedName name="CBx_3dbb93cf136f4c3eada7a98889ed4210" localSheetId="3" hidden="1">"'Modelo'!$A$1"</definedName>
    <definedName name="CBx_a611919a7c3e47588a898e824bc07e88" localSheetId="3" hidden="1">"'CB_DATA_'!$A$1"</definedName>
    <definedName name="CBx_Sheet_Guid" localSheetId="3" hidden="1">"'a611919a-7c3e-4758-8a89-8e824bc07e88"</definedName>
    <definedName name="CBx_Sheet_Guid" localSheetId="4" hidden="1">"'3dbb93cf-136f-4c3e-ada7-a98889ed4210"</definedName>
    <definedName name="CBx_StorageType" localSheetId="3" hidden="1">1</definedName>
    <definedName name="CBx_StorageType" localSheetId="4" hidden="1">1</definedName>
    <definedName name="CCC">[10]ke!#REF!</definedName>
    <definedName name="cde" hidden="1">-1883279711</definedName>
    <definedName name="coefz">Modelo!$B$122:$B$125</definedName>
    <definedName name="Costo_de_Ventas">[8]Modelo!$B$4</definedName>
    <definedName name="Cto_Financiero">[10]Modelo!$C$15</definedName>
    <definedName name="Cto_Vtas">Modelo!$B$7</definedName>
    <definedName name="CTOCAPPAS">'[6]Costo de Capital'!#REF!</definedName>
    <definedName name="CTOCAPPAT">'[6]Costo de Capital'!#REF!</definedName>
    <definedName name="CTOCAPTOT">'[6]Costo de Capital'!#REF!</definedName>
    <definedName name="CtoOp">[14]Proveedores!$C$13</definedName>
    <definedName name="CUOTA">#REF!</definedName>
    <definedName name="Descuento">#REF!</definedName>
    <definedName name="días">'Cto Crédito'!$B$6</definedName>
    <definedName name="Días_Plazo_Pago">[13]Modelo!$B$14</definedName>
    <definedName name="DIV.ACTUAL" localSheetId="9">'[5]Costo Cap y EVA'!#REF!</definedName>
    <definedName name="DIV.ACTUAL" localSheetId="10">'[5]Costo Cap y EVA'!#REF!</definedName>
    <definedName name="DIV.ACTUAL">'[3]Costo Cap y EVA'!#REF!</definedName>
    <definedName name="DIVID.HISTORICO" localSheetId="10">[19]ke!#REF!</definedName>
    <definedName name="DIVID.HISTORICO">#REF!</definedName>
    <definedName name="DPC">Modelo!$B$21</definedName>
    <definedName name="DPP" localSheetId="10">[12]Modelo!$B$12</definedName>
    <definedName name="DPP">Modelo!$B$20</definedName>
    <definedName name="dscto">'[16]Beneficio Costo'!$C$27</definedName>
    <definedName name="Efecto_Neto_Aum_DPC">#REF!</definedName>
    <definedName name="Efecto_Neto_Descuentos">#REF!</definedName>
    <definedName name="EVA__Método_2">[8]Modelo!$B$107</definedName>
    <definedName name="FCL">[14]Consolidado!$A$101</definedName>
    <definedName name="FLUJO_DE_CAJA_MENSUAL" localSheetId="9">[4]PROYECTO!#REF!</definedName>
    <definedName name="FLUJO_DE_CAJA_MENSUAL" localSheetId="10">[21]PROYECTO!#REF!</definedName>
    <definedName name="FLUJO_DE_CAJA_MENSUAL">[2]PROYECTO!#REF!</definedName>
    <definedName name="G" localSheetId="9">'[5]Costo Cap y EVA'!#REF!</definedName>
    <definedName name="G" localSheetId="10">'[5]Costo Cap y EVA'!#REF!</definedName>
    <definedName name="G">'[3]Costo Cap y EVA'!#REF!</definedName>
    <definedName name="Gastos_de_Administración">[8]Modelo!$B$6</definedName>
    <definedName name="Gastos_de_Ventas">[7]Modelo!$B$12</definedName>
    <definedName name="gordon">#REF!</definedName>
    <definedName name="Gradiente">Modelo!$B$26</definedName>
    <definedName name="Gtos_admon">[10]Modelo!$C$7</definedName>
    <definedName name="Gtos_admón">Modelo!$B$9</definedName>
    <definedName name="Gtos_Vtas">Modelo!$B$11</definedName>
    <definedName name="I_EFCT">#REF!</definedName>
    <definedName name="INTERES">#REF!</definedName>
    <definedName name="Interes_i">[8]Modelo!$B$13</definedName>
    <definedName name="items">[9]Modelo!$T$43:$T$48</definedName>
    <definedName name="Lista">Modelo!$C$1:$L$1</definedName>
    <definedName name="Matriz">[7]Modelo!$N$139:$P$143</definedName>
    <definedName name="matriz1">#REF!</definedName>
    <definedName name="matrizke">'Cto Patrimonio'!$A$1:$M$7</definedName>
    <definedName name="matrizz">Modelo!$Z$117:$AA$120</definedName>
    <definedName name="matrizzscore">Conceptos!$A$43:$B$46</definedName>
    <definedName name="mes">'[15]AÑO 2005'!$AO$1</definedName>
    <definedName name="meta">Modelo!$B$29</definedName>
    <definedName name="metodo">#REF!</definedName>
    <definedName name="metodos">'[1]Cto Patrimonio'!$B$3:$B$8</definedName>
    <definedName name="new" localSheetId="10" hidden="1">{"EVA",#N/A,FALSE,"SMT2";#N/A,#N/A,FALSE,"Summary";#N/A,#N/A,FALSE,"Graphs";#N/A,#N/A,FALSE,"4 Panel"}</definedName>
    <definedName name="new" hidden="1">{"EVA",#N/A,FALSE,"SMT2";#N/A,#N/A,FALSE,"Summary";#N/A,#N/A,FALSE,"Graphs";#N/A,#N/A,FALSE,"4 Panel"}</definedName>
    <definedName name="_new1" localSheetId="10" hidden="1">{#N/A,#N/A,FALSE,"SMT1";#N/A,#N/A,FALSE,"SMT2";#N/A,#N/A,FALSE,"Summary";#N/A,#N/A,FALSE,"Graphs";#N/A,#N/A,FALSE,"4 Panel"}</definedName>
    <definedName name="_new1" hidden="1">{#N/A,#N/A,FALSE,"SMT1";#N/A,#N/A,FALSE,"SMT2";#N/A,#N/A,FALSE,"Summary";#N/A,#N/A,FALSE,"Graphs";#N/A,#N/A,FALSE,"4 Panel"}</definedName>
    <definedName name="_NEW3" localSheetId="10" hidden="1">{#N/A,#N/A,FALSE,"SMT1";#N/A,#N/A,FALSE,"SMT2";#N/A,#N/A,FALSE,"Summary";#N/A,#N/A,FALSE,"Graphs";#N/A,#N/A,FALSE,"4 Panel"}</definedName>
    <definedName name="_NEW3" hidden="1">{#N/A,#N/A,FALSE,"SMT1";#N/A,#N/A,FALSE,"SMT2";#N/A,#N/A,FALSE,"Summary";#N/A,#N/A,FALSE,"Graphs";#N/A,#N/A,FALSE,"4 Panel"}</definedName>
    <definedName name="_NEW4" localSheetId="10" hidden="1">{#N/A,#N/A,FALSE,"Full";#N/A,#N/A,FALSE,"Half";#N/A,#N/A,FALSE,"Op Expenses";#N/A,#N/A,FALSE,"Cap Charge";#N/A,#N/A,FALSE,"Cost C";#N/A,#N/A,FALSE,"PP&amp;E";#N/A,#N/A,FALSE,"R&amp;D"}</definedName>
    <definedName name="_NEW4" hidden="1">{#N/A,#N/A,FALSE,"Full";#N/A,#N/A,FALSE,"Half";#N/A,#N/A,FALSE,"Op Expenses";#N/A,#N/A,FALSE,"Cap Charge";#N/A,#N/A,FALSE,"Cost C";#N/A,#N/A,FALSE,"PP&amp;E";#N/A,#N/A,FALSE,"R&amp;D"}</definedName>
    <definedName name="NOTAS">'[6]Costo de Capital'!#REF!</definedName>
    <definedName name="PASIVOS">'[6]Costo de Capital'!#REF!</definedName>
    <definedName name="PATRIMONIO">'[6]Costo de Capital'!#REF!</definedName>
    <definedName name="pAY_oUT">Modelo!$B$24</definedName>
    <definedName name="Plazo_de_Cobro">[8]Modelo!$B$10</definedName>
    <definedName name="Plazo_de_Pago">[8]Modelo!$B$11</definedName>
    <definedName name="Porcentaje_Clientes">#REF!</definedName>
    <definedName name="ppp">#REF!</definedName>
    <definedName name="PRECIO_ACCION" localSheetId="9">'[5]Costo Cap y EVA'!#REF!</definedName>
    <definedName name="PRECIO_ACCION" localSheetId="10">'[5]Costo Cap y EVA'!#REF!</definedName>
    <definedName name="PRECIO_ACCION">'[3]Costo Cap y EVA'!#REF!</definedName>
    <definedName name="PRIMA">[12]Modelo!$B$30</definedName>
    <definedName name="primariesgo">'[6]Costo de Capital'!#REF!</definedName>
    <definedName name="Relación_Pago">[8]Modelo!$B$19</definedName>
    <definedName name="ROE">[8]Modelo!$B$110</definedName>
    <definedName name="ROIC">[8]Modelo!$B$105</definedName>
    <definedName name="Rot_Inventarios">Modelo!$B$8</definedName>
    <definedName name="Rotación_de_Inventarios">[8]Modelo!$B$5</definedName>
    <definedName name="rotulos" localSheetId="9">[7]Modelo!$O$139:$O$143</definedName>
    <definedName name="rotulos" localSheetId="10">[7]Modelo!$O$139:$O$143</definedName>
    <definedName name="rotulos">[1]Modelo!$O$249:$O$255</definedName>
    <definedName name="rótulos">#REF!</definedName>
    <definedName name="Rubros">[10]Modelo!$T$43:$T$48</definedName>
    <definedName name="Saldo_Acumulado_de_Caja">[8]Modelo!$B$65</definedName>
    <definedName name="sectores">[11]Emergentes!$B$4:$B$324</definedName>
    <definedName name="TABLA1" localSheetId="9">[4]PROYECTO!#REF!</definedName>
    <definedName name="TABLA1" localSheetId="10">[21]PROYECTO!#REF!</definedName>
    <definedName name="TABLA1">[2]PROYECTO!#REF!</definedName>
    <definedName name="Tas_Interés">Modelo!$B$15</definedName>
    <definedName name="Tasa_de_Interés">[8]Modelo!$B$13</definedName>
    <definedName name="tax" localSheetId="9">'[6]Costo de Capital'!$C$37</definedName>
    <definedName name="tax" localSheetId="10">'[6]Costo de Capital'!$C$37</definedName>
    <definedName name="tax">'Cto Crédito'!$B$11</definedName>
    <definedName name="TIR">'Cto Crédito'!$H$40</definedName>
    <definedName name="TIRLP">'Cto Crédito'!$B$47</definedName>
    <definedName name="Total_Patrimonio">[8]Modelo!$B$92</definedName>
    <definedName name="Util_Bruta">Modelo!$C$47</definedName>
    <definedName name="Util_Neta">Modelo!$C$55</definedName>
    <definedName name="Util_Oper">Modelo!$C$51</definedName>
    <definedName name="Utilidad_Bruta">[8]Modelo!$B$32</definedName>
    <definedName name="Utilidad_Neta">[8]Modelo!$B$40</definedName>
    <definedName name="Utilidad_Operacional">[8]Modelo!$B$36</definedName>
    <definedName name="Ventas">Modelo!$B$4</definedName>
    <definedName name="vigencia">'[16]Beneficio Costo'!$C$28</definedName>
    <definedName name="Vigencia_Dscto">#REF!</definedName>
    <definedName name="Vlr_Patr_FdeCL">Modelo!$B$200</definedName>
    <definedName name="Vlr_Patrim_MVA">Modelo!$B$152</definedName>
    <definedName name="Vtas">[10]Modelo!$C$3</definedName>
    <definedName name="VVV">[18]PROYECTO!#REF!</definedName>
    <definedName name="WACC">[8]Modelo!$B$15</definedName>
    <definedName name="wrn.Book." localSheetId="10" hidden="1">{"EVA",#N/A,FALSE,"SMT2";#N/A,#N/A,FALSE,"Summary";#N/A,#N/A,FALSE,"Graphs";#N/A,#N/A,FALSE,"4 Panel"}</definedName>
    <definedName name="wrn.Book." hidden="1">{"EVA",#N/A,FALSE,"SMT2";#N/A,#N/A,FALSE,"Summary";#N/A,#N/A,FALSE,"Graphs";#N/A,#N/A,FALSE,"4 Panel"}</definedName>
    <definedName name="wrn.Complete." localSheetId="10" hidden="1">{#N/A,#N/A,FALSE,"SMT1";#N/A,#N/A,FALSE,"SMT2";#N/A,#N/A,FALSE,"Summary";#N/A,#N/A,FALSE,"Graphs";#N/A,#N/A,FALSE,"4 Panel"}</definedName>
    <definedName name="wrn.Complete." hidden="1">{#N/A,#N/A,FALSE,"SMT1";#N/A,#N/A,FALSE,"SMT2";#N/A,#N/A,FALSE,"Summary";#N/A,#N/A,FALSE,"Graphs";#N/A,#N/A,FALSE,"4 Panel"}</definedName>
    <definedName name="wrn.Complete._.Set." localSheetId="10" hidden="1">{#N/A,#N/A,FALSE,"Full";#N/A,#N/A,FALSE,"Half";#N/A,#N/A,FALSE,"Op Expenses";#N/A,#N/A,FALSE,"Cap Charge";#N/A,#N/A,FALSE,"Cost C";#N/A,#N/A,FALSE,"PP&amp;E";#N/A,#N/A,FALSE,"R&amp;D"}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XXX" hidden="1">'[17]Costo de Capital'!#REF!</definedName>
    <definedName name="z_score">[8]Modelo!$B$116</definedName>
    <definedName name="z_score_Año_1">Modelo!$C$116</definedName>
  </definedNames>
  <calcPr calcId="125725"/>
</workbook>
</file>

<file path=xl/calcChain.xml><?xml version="1.0" encoding="utf-8"?>
<calcChain xmlns="http://schemas.openxmlformats.org/spreadsheetml/2006/main">
  <c r="C165" i="1"/>
  <c r="C22"/>
  <c r="S34"/>
  <c r="S35"/>
  <c r="S39"/>
  <c r="S41"/>
  <c r="C41"/>
  <c r="D41" s="1"/>
  <c r="C48"/>
  <c r="D48"/>
  <c r="E48"/>
  <c r="F48"/>
  <c r="G48"/>
  <c r="H48"/>
  <c r="I48"/>
  <c r="J48"/>
  <c r="K48"/>
  <c r="L48"/>
  <c r="C49"/>
  <c r="D49"/>
  <c r="E49"/>
  <c r="F49"/>
  <c r="G49"/>
  <c r="H49"/>
  <c r="I49"/>
  <c r="J49"/>
  <c r="K49"/>
  <c r="L49"/>
  <c r="C57"/>
  <c r="D57"/>
  <c r="E57"/>
  <c r="F57"/>
  <c r="G57"/>
  <c r="H57"/>
  <c r="I57"/>
  <c r="J57"/>
  <c r="K57"/>
  <c r="L57"/>
  <c r="C60"/>
  <c r="D60"/>
  <c r="E60"/>
  <c r="F60"/>
  <c r="G60"/>
  <c r="H60"/>
  <c r="I60"/>
  <c r="J60"/>
  <c r="K60"/>
  <c r="L60"/>
  <c r="C71"/>
  <c r="C89"/>
  <c r="D89"/>
  <c r="E89"/>
  <c r="F89"/>
  <c r="G89"/>
  <c r="H89"/>
  <c r="I89"/>
  <c r="J89"/>
  <c r="K89"/>
  <c r="L89"/>
  <c r="C90"/>
  <c r="D90"/>
  <c r="E90"/>
  <c r="C91"/>
  <c r="D91"/>
  <c r="M113"/>
  <c r="C129"/>
  <c r="D129"/>
  <c r="E129"/>
  <c r="F129"/>
  <c r="G129"/>
  <c r="H129"/>
  <c r="I129"/>
  <c r="J129"/>
  <c r="K129"/>
  <c r="L129"/>
  <c r="C158"/>
  <c r="D158"/>
  <c r="E158"/>
  <c r="F158"/>
  <c r="G158"/>
  <c r="H158"/>
  <c r="I158"/>
  <c r="J158"/>
  <c r="K158"/>
  <c r="L158"/>
  <c r="A160"/>
  <c r="A161"/>
  <c r="A162"/>
  <c r="A163"/>
  <c r="C171"/>
  <c r="D171"/>
  <c r="E171"/>
  <c r="F171"/>
  <c r="G171"/>
  <c r="H171"/>
  <c r="I171"/>
  <c r="J171"/>
  <c r="K171"/>
  <c r="L171"/>
  <c r="A173"/>
  <c r="C175"/>
  <c r="D175"/>
  <c r="E175"/>
  <c r="F175"/>
  <c r="G175"/>
  <c r="H175"/>
  <c r="I175"/>
  <c r="J175"/>
  <c r="K175"/>
  <c r="L175"/>
  <c r="L176"/>
  <c r="L181"/>
  <c r="L182"/>
  <c r="L183"/>
  <c r="B184"/>
  <c r="L185"/>
  <c r="A198"/>
  <c r="C198"/>
  <c r="A199"/>
  <c r="A200"/>
  <c r="C4" i="2"/>
  <c r="D4"/>
  <c r="C5"/>
  <c r="C12" s="1"/>
  <c r="C7"/>
  <c r="D7" s="1"/>
  <c r="D13" s="1"/>
  <c r="D15" s="1"/>
  <c r="C9"/>
  <c r="C10"/>
  <c r="B11"/>
  <c r="C11"/>
  <c r="D11"/>
  <c r="B34"/>
  <c r="D34"/>
  <c r="E34"/>
  <c r="F34" s="1"/>
  <c r="H34" s="1"/>
  <c r="B35"/>
  <c r="D35"/>
  <c r="E35"/>
  <c r="F35" s="1"/>
  <c r="H35" s="1"/>
  <c r="B36"/>
  <c r="E36"/>
  <c r="B37"/>
  <c r="D37"/>
  <c r="E37"/>
  <c r="F37"/>
  <c r="H37" s="1"/>
  <c r="B38"/>
  <c r="E38"/>
  <c r="L44"/>
  <c r="C4" i="3"/>
  <c r="C5"/>
  <c r="F5"/>
  <c r="C6"/>
  <c r="E7"/>
  <c r="C9"/>
  <c r="D3" i="4"/>
  <c r="E3"/>
  <c r="F3"/>
  <c r="G3"/>
  <c r="H3"/>
  <c r="I3"/>
  <c r="J3"/>
  <c r="K3"/>
  <c r="L3"/>
  <c r="M3"/>
  <c r="D8"/>
  <c r="D10"/>
  <c r="E10"/>
  <c r="B12"/>
  <c r="C15"/>
  <c r="D15"/>
  <c r="D21"/>
  <c r="E21"/>
  <c r="C25"/>
  <c r="F25"/>
  <c r="G25"/>
  <c r="C26"/>
  <c r="F26"/>
  <c r="G26"/>
  <c r="C27"/>
  <c r="C28"/>
  <c r="C29"/>
  <c r="C30"/>
  <c r="C31"/>
  <c r="C32"/>
  <c r="C33"/>
  <c r="B35"/>
  <c r="C35"/>
  <c r="D35"/>
  <c r="D39"/>
  <c r="D4" s="1"/>
  <c r="B42"/>
  <c r="B49"/>
  <c r="B59"/>
  <c r="B60"/>
  <c r="B61"/>
  <c r="D57" s="1"/>
  <c r="D5" s="1"/>
  <c r="B65"/>
  <c r="B66"/>
  <c r="C80"/>
  <c r="I5" i="14"/>
  <c r="J5"/>
  <c r="K5"/>
  <c r="R5"/>
  <c r="S5"/>
  <c r="T5"/>
  <c r="U5"/>
  <c r="V5"/>
  <c r="I6"/>
  <c r="J6"/>
  <c r="K6"/>
  <c r="R6"/>
  <c r="S6"/>
  <c r="T6"/>
  <c r="U6"/>
  <c r="V6"/>
  <c r="I7"/>
  <c r="J7"/>
  <c r="K7"/>
  <c r="R7"/>
  <c r="S7"/>
  <c r="T7"/>
  <c r="U7"/>
  <c r="V7"/>
  <c r="I8"/>
  <c r="J8"/>
  <c r="K8"/>
  <c r="R8"/>
  <c r="S8"/>
  <c r="T8"/>
  <c r="U8"/>
  <c r="V8"/>
  <c r="I9"/>
  <c r="J9"/>
  <c r="K9"/>
  <c r="R9"/>
  <c r="S9"/>
  <c r="T9"/>
  <c r="U9"/>
  <c r="V9"/>
  <c r="I10"/>
  <c r="J10"/>
  <c r="K10"/>
  <c r="R10"/>
  <c r="S10"/>
  <c r="T10"/>
  <c r="U10"/>
  <c r="V10"/>
  <c r="I11"/>
  <c r="J11"/>
  <c r="K11"/>
  <c r="R11"/>
  <c r="S11"/>
  <c r="T11"/>
  <c r="U11"/>
  <c r="V11"/>
  <c r="I12"/>
  <c r="J12"/>
  <c r="K12"/>
  <c r="R12"/>
  <c r="S12"/>
  <c r="T12"/>
  <c r="U12"/>
  <c r="V12"/>
  <c r="I13"/>
  <c r="J13"/>
  <c r="K13"/>
  <c r="R13"/>
  <c r="S13"/>
  <c r="T13"/>
  <c r="U13"/>
  <c r="V13"/>
  <c r="I14"/>
  <c r="J14"/>
  <c r="K14"/>
  <c r="R14"/>
  <c r="S14"/>
  <c r="T14"/>
  <c r="U14"/>
  <c r="V14"/>
  <c r="I15"/>
  <c r="J15"/>
  <c r="K15"/>
  <c r="R15"/>
  <c r="S15"/>
  <c r="T15"/>
  <c r="U15"/>
  <c r="V15"/>
  <c r="A16"/>
  <c r="J16"/>
  <c r="K16"/>
  <c r="A17"/>
  <c r="D17"/>
  <c r="F17"/>
  <c r="H17"/>
  <c r="A18"/>
  <c r="H20"/>
  <c r="T41" i="1"/>
  <c r="T34"/>
  <c r="T35"/>
  <c r="T39"/>
  <c r="D5" i="2"/>
  <c r="F90" i="1"/>
  <c r="E91"/>
  <c r="F38" i="2"/>
  <c r="D38"/>
  <c r="H38" s="1"/>
  <c r="F36"/>
  <c r="D36"/>
  <c r="H36" s="1"/>
  <c r="G34"/>
  <c r="D10"/>
  <c r="D9"/>
  <c r="D12"/>
  <c r="F91" i="1"/>
  <c r="G90"/>
  <c r="H90"/>
  <c r="G91"/>
  <c r="H91"/>
  <c r="I90"/>
  <c r="J90"/>
  <c r="I91"/>
  <c r="J91"/>
  <c r="K90"/>
  <c r="L90"/>
  <c r="L91"/>
  <c r="K91"/>
  <c r="D165"/>
  <c r="E165"/>
  <c r="F165"/>
  <c r="G165"/>
  <c r="H165"/>
  <c r="I165"/>
  <c r="J165"/>
  <c r="K165"/>
  <c r="L165"/>
  <c r="D10" i="3"/>
  <c r="D9"/>
  <c r="D11"/>
  <c r="N138" i="1"/>
  <c r="C151"/>
  <c r="C148"/>
  <c r="C152"/>
  <c r="C149"/>
  <c r="N141"/>
  <c r="C150"/>
  <c r="N142"/>
  <c r="C46" l="1"/>
  <c r="C45" s="1"/>
  <c r="C15" i="2"/>
  <c r="C13"/>
  <c r="H40"/>
  <c r="M57" i="4"/>
  <c r="M5" s="1"/>
  <c r="J57"/>
  <c r="J5" s="1"/>
  <c r="I57"/>
  <c r="I5" s="1"/>
  <c r="F57"/>
  <c r="F5" s="1"/>
  <c r="E57"/>
  <c r="E5" s="1"/>
  <c r="M4"/>
  <c r="K4"/>
  <c r="I4"/>
  <c r="G4"/>
  <c r="E4"/>
  <c r="B67"/>
  <c r="L57"/>
  <c r="L5" s="1"/>
  <c r="K57"/>
  <c r="K5" s="1"/>
  <c r="H57"/>
  <c r="H5" s="1"/>
  <c r="G57"/>
  <c r="G5" s="1"/>
  <c r="L4"/>
  <c r="J4"/>
  <c r="H4"/>
  <c r="F4"/>
  <c r="C50" i="1"/>
  <c r="C67" s="1"/>
  <c r="B180" s="1"/>
  <c r="C47"/>
  <c r="C131" s="1"/>
  <c r="C68"/>
  <c r="C69"/>
  <c r="C43"/>
  <c r="D42"/>
  <c r="D46"/>
  <c r="E41"/>
  <c r="D68"/>
  <c r="D50"/>
  <c r="D47"/>
  <c r="E15" i="2" l="1"/>
  <c r="C10" i="3" s="1"/>
  <c r="C11" s="1"/>
  <c r="A17" i="2"/>
  <c r="C51" i="1"/>
  <c r="C70"/>
  <c r="B183" s="1"/>
  <c r="B181"/>
  <c r="C86"/>
  <c r="D86" s="1"/>
  <c r="B182"/>
  <c r="C87"/>
  <c r="C132"/>
  <c r="C61"/>
  <c r="C44"/>
  <c r="E68"/>
  <c r="F41"/>
  <c r="E46"/>
  <c r="E50"/>
  <c r="D131"/>
  <c r="D51"/>
  <c r="C181"/>
  <c r="D45"/>
  <c r="B217" l="1"/>
  <c r="C59"/>
  <c r="C174" s="1"/>
  <c r="C138"/>
  <c r="C72"/>
  <c r="B141" s="1"/>
  <c r="C96"/>
  <c r="B176"/>
  <c r="B177" s="1"/>
  <c r="C62"/>
  <c r="D69"/>
  <c r="E42"/>
  <c r="D59"/>
  <c r="D132"/>
  <c r="D138"/>
  <c r="E45"/>
  <c r="E43" s="1"/>
  <c r="D181"/>
  <c r="E86"/>
  <c r="D43"/>
  <c r="F46"/>
  <c r="F50"/>
  <c r="G41"/>
  <c r="F68"/>
  <c r="F47"/>
  <c r="E47"/>
  <c r="B185" l="1"/>
  <c r="B187" s="1"/>
  <c r="B188" s="1"/>
  <c r="B189" s="1"/>
  <c r="C63"/>
  <c r="C64" s="1"/>
  <c r="C142"/>
  <c r="B149"/>
  <c r="K103"/>
  <c r="K113" s="1"/>
  <c r="E103"/>
  <c r="E113" s="1"/>
  <c r="L103"/>
  <c r="L113" s="1"/>
  <c r="J103"/>
  <c r="J113" s="1"/>
  <c r="G103"/>
  <c r="G113" s="1"/>
  <c r="H103"/>
  <c r="H113" s="1"/>
  <c r="D103"/>
  <c r="D113" s="1"/>
  <c r="I103"/>
  <c r="I113" s="1"/>
  <c r="C103"/>
  <c r="F103"/>
  <c r="F113" s="1"/>
  <c r="G50"/>
  <c r="G46"/>
  <c r="H41"/>
  <c r="G68"/>
  <c r="D61"/>
  <c r="D64" s="1"/>
  <c r="D44"/>
  <c r="D174"/>
  <c r="D87"/>
  <c r="C182"/>
  <c r="D70"/>
  <c r="E61"/>
  <c r="E131"/>
  <c r="E51"/>
  <c r="F51"/>
  <c r="F131"/>
  <c r="F45"/>
  <c r="F86"/>
  <c r="E181"/>
  <c r="E69"/>
  <c r="F42"/>
  <c r="E44"/>
  <c r="B151" l="1"/>
  <c r="B199" s="1"/>
  <c r="C17"/>
  <c r="F69"/>
  <c r="G42"/>
  <c r="C183"/>
  <c r="D72"/>
  <c r="D182"/>
  <c r="E87"/>
  <c r="E70"/>
  <c r="E138"/>
  <c r="E59"/>
  <c r="E132"/>
  <c r="D176"/>
  <c r="F181"/>
  <c r="G86"/>
  <c r="G45"/>
  <c r="G43" s="1"/>
  <c r="D177"/>
  <c r="F43"/>
  <c r="F61" s="1"/>
  <c r="G47"/>
  <c r="F138"/>
  <c r="F132"/>
  <c r="F59"/>
  <c r="D96"/>
  <c r="C176"/>
  <c r="C177" s="1"/>
  <c r="H68"/>
  <c r="H46"/>
  <c r="H47" s="1"/>
  <c r="I41"/>
  <c r="H50"/>
  <c r="J18" l="1"/>
  <c r="B42" i="2"/>
  <c r="E18" i="1"/>
  <c r="F18"/>
  <c r="K18"/>
  <c r="L18"/>
  <c r="G18"/>
  <c r="H18"/>
  <c r="M18"/>
  <c r="C52"/>
  <c r="D18"/>
  <c r="D17" s="1"/>
  <c r="I18"/>
  <c r="G61"/>
  <c r="F176" s="1"/>
  <c r="H45"/>
  <c r="G131"/>
  <c r="G51"/>
  <c r="E72"/>
  <c r="D183"/>
  <c r="F87"/>
  <c r="E182"/>
  <c r="F70"/>
  <c r="E96"/>
  <c r="H51"/>
  <c r="H131"/>
  <c r="I46"/>
  <c r="I47" s="1"/>
  <c r="J41"/>
  <c r="I50"/>
  <c r="I68"/>
  <c r="H86"/>
  <c r="G181"/>
  <c r="F174"/>
  <c r="F64"/>
  <c r="E176"/>
  <c r="F96"/>
  <c r="H42"/>
  <c r="G69"/>
  <c r="E64"/>
  <c r="E174"/>
  <c r="C185"/>
  <c r="C187" s="1"/>
  <c r="C141"/>
  <c r="F44"/>
  <c r="G44"/>
  <c r="E177" l="1"/>
  <c r="D52"/>
  <c r="E17"/>
  <c r="I74"/>
  <c r="H43" i="2" s="1"/>
  <c r="G99" i="1"/>
  <c r="H95"/>
  <c r="B44" i="2"/>
  <c r="B45" s="1"/>
  <c r="C73" i="1"/>
  <c r="C77" s="1"/>
  <c r="C79" s="1"/>
  <c r="C80" s="1"/>
  <c r="C53"/>
  <c r="F99"/>
  <c r="H74"/>
  <c r="G43" i="2" s="1"/>
  <c r="G95" i="1"/>
  <c r="K74"/>
  <c r="J43" i="2" s="1"/>
  <c r="I99" i="1"/>
  <c r="J95"/>
  <c r="D95"/>
  <c r="E74"/>
  <c r="D43" i="2" s="1"/>
  <c r="C99" i="1"/>
  <c r="J74"/>
  <c r="I43" i="2" s="1"/>
  <c r="H99" i="1"/>
  <c r="H162" s="1"/>
  <c r="I95"/>
  <c r="C95"/>
  <c r="D74"/>
  <c r="C43" i="2" s="1"/>
  <c r="L95" i="1"/>
  <c r="M74"/>
  <c r="L43" i="2" s="1"/>
  <c r="L45" s="1"/>
  <c r="K99" i="1"/>
  <c r="E99"/>
  <c r="G74"/>
  <c r="F43" i="2" s="1"/>
  <c r="F95" i="1"/>
  <c r="L74"/>
  <c r="K43" i="2" s="1"/>
  <c r="K95" i="1"/>
  <c r="J99"/>
  <c r="F74"/>
  <c r="E43" i="2" s="1"/>
  <c r="E95" i="1"/>
  <c r="D99"/>
  <c r="F177"/>
  <c r="H181"/>
  <c r="I86"/>
  <c r="I45"/>
  <c r="H59"/>
  <c r="H138"/>
  <c r="H132"/>
  <c r="E183"/>
  <c r="F72"/>
  <c r="D185"/>
  <c r="D187" s="1"/>
  <c r="D141"/>
  <c r="I42"/>
  <c r="I43" s="1"/>
  <c r="H69"/>
  <c r="D142"/>
  <c r="F182"/>
  <c r="G87"/>
  <c r="G70"/>
  <c r="I51"/>
  <c r="I131"/>
  <c r="K41"/>
  <c r="J50"/>
  <c r="J46"/>
  <c r="J47" s="1"/>
  <c r="J68"/>
  <c r="G59"/>
  <c r="G132"/>
  <c r="G138"/>
  <c r="H43"/>
  <c r="H61" s="1"/>
  <c r="G96"/>
  <c r="J162" l="1"/>
  <c r="D162"/>
  <c r="F53" i="4"/>
  <c r="E161" i="1"/>
  <c r="M53" i="4"/>
  <c r="L162" i="1"/>
  <c r="L161"/>
  <c r="D53" i="4"/>
  <c r="C161" i="1"/>
  <c r="E53" i="4"/>
  <c r="D161" i="1"/>
  <c r="G161"/>
  <c r="H53" i="4"/>
  <c r="C85" i="1"/>
  <c r="C88" s="1"/>
  <c r="C92" s="1"/>
  <c r="D217"/>
  <c r="I53" i="4"/>
  <c r="H161" i="1"/>
  <c r="D73"/>
  <c r="C44" i="2"/>
  <c r="D53" i="1"/>
  <c r="K162"/>
  <c r="C162"/>
  <c r="I162"/>
  <c r="F162"/>
  <c r="L53" i="4"/>
  <c r="K161" i="1"/>
  <c r="G53" i="4"/>
  <c r="F161" i="1"/>
  <c r="I161"/>
  <c r="J53" i="4"/>
  <c r="J161" i="1"/>
  <c r="K53" i="4"/>
  <c r="C54" i="1"/>
  <c r="C55" s="1"/>
  <c r="F17"/>
  <c r="E52"/>
  <c r="E162"/>
  <c r="C45" i="2"/>
  <c r="G162" i="1"/>
  <c r="G176"/>
  <c r="H96"/>
  <c r="I138"/>
  <c r="I132"/>
  <c r="I59"/>
  <c r="G182"/>
  <c r="H87"/>
  <c r="H70"/>
  <c r="I61"/>
  <c r="I181"/>
  <c r="J86"/>
  <c r="J131"/>
  <c r="J51"/>
  <c r="K68"/>
  <c r="K46"/>
  <c r="L41"/>
  <c r="K50"/>
  <c r="G174"/>
  <c r="G64"/>
  <c r="J45"/>
  <c r="F183"/>
  <c r="G72"/>
  <c r="E142"/>
  <c r="E185"/>
  <c r="E187" s="1"/>
  <c r="E141"/>
  <c r="H174"/>
  <c r="H64"/>
  <c r="I69"/>
  <c r="J42"/>
  <c r="H44"/>
  <c r="I44"/>
  <c r="G177" l="1"/>
  <c r="F52"/>
  <c r="G17"/>
  <c r="C133"/>
  <c r="C106"/>
  <c r="C217"/>
  <c r="D75"/>
  <c r="C134"/>
  <c r="C124"/>
  <c r="D44" i="2"/>
  <c r="D45" s="1"/>
  <c r="E73" i="1"/>
  <c r="E53"/>
  <c r="C97"/>
  <c r="C98" s="1"/>
  <c r="C100" s="1"/>
  <c r="D76"/>
  <c r="F142"/>
  <c r="L68"/>
  <c r="L50"/>
  <c r="L46"/>
  <c r="K45"/>
  <c r="J59"/>
  <c r="J138"/>
  <c r="J132"/>
  <c r="H176"/>
  <c r="H177" s="1"/>
  <c r="I96"/>
  <c r="H72"/>
  <c r="G183"/>
  <c r="K42"/>
  <c r="J69"/>
  <c r="H182"/>
  <c r="I87"/>
  <c r="I70"/>
  <c r="F185"/>
  <c r="F187" s="1"/>
  <c r="F141"/>
  <c r="J181"/>
  <c r="K86"/>
  <c r="I174"/>
  <c r="I64"/>
  <c r="J43"/>
  <c r="J61" s="1"/>
  <c r="K47"/>
  <c r="D77" l="1"/>
  <c r="D79" s="1"/>
  <c r="D80" s="1"/>
  <c r="D85" s="1"/>
  <c r="D88" s="1"/>
  <c r="D92" s="1"/>
  <c r="C163"/>
  <c r="E44" i="2"/>
  <c r="E45" s="1"/>
  <c r="F73" i="1"/>
  <c r="F53"/>
  <c r="C122"/>
  <c r="D114"/>
  <c r="D104" s="1"/>
  <c r="D107"/>
  <c r="C123"/>
  <c r="C108"/>
  <c r="G52"/>
  <c r="H17"/>
  <c r="J44"/>
  <c r="G141"/>
  <c r="G185"/>
  <c r="G187" s="1"/>
  <c r="K69"/>
  <c r="L42"/>
  <c r="L45"/>
  <c r="L47"/>
  <c r="J87"/>
  <c r="I182"/>
  <c r="J70"/>
  <c r="K131"/>
  <c r="K51"/>
  <c r="I176"/>
  <c r="I177" s="1"/>
  <c r="J96"/>
  <c r="G142"/>
  <c r="H183"/>
  <c r="I72"/>
  <c r="J64"/>
  <c r="J174"/>
  <c r="K181"/>
  <c r="L86"/>
  <c r="K43"/>
  <c r="K61" s="1"/>
  <c r="L69" l="1"/>
  <c r="L70" s="1"/>
  <c r="L72" s="1"/>
  <c r="H52"/>
  <c r="I17"/>
  <c r="D54" i="4"/>
  <c r="D55" s="1"/>
  <c r="C125" i="1"/>
  <c r="D54"/>
  <c r="C164"/>
  <c r="C136"/>
  <c r="C135"/>
  <c r="L43"/>
  <c r="L61" s="1"/>
  <c r="G73"/>
  <c r="F44" i="2"/>
  <c r="F45" s="1"/>
  <c r="G53" i="1"/>
  <c r="D124"/>
  <c r="C116"/>
  <c r="C110"/>
  <c r="C111" s="1"/>
  <c r="K96"/>
  <c r="J176"/>
  <c r="J177" s="1"/>
  <c r="H185"/>
  <c r="H187" s="1"/>
  <c r="H141"/>
  <c r="K138"/>
  <c r="K59"/>
  <c r="K132"/>
  <c r="J72"/>
  <c r="I183"/>
  <c r="K87"/>
  <c r="J182"/>
  <c r="K70"/>
  <c r="K44"/>
  <c r="L131"/>
  <c r="L51"/>
  <c r="H142"/>
  <c r="L87" l="1"/>
  <c r="K183"/>
  <c r="L44"/>
  <c r="K182"/>
  <c r="D55"/>
  <c r="D97"/>
  <c r="D98" s="1"/>
  <c r="E76"/>
  <c r="D46" i="4"/>
  <c r="D6" s="1"/>
  <c r="D63"/>
  <c r="D7" s="1"/>
  <c r="G44" i="2"/>
  <c r="G45" s="1"/>
  <c r="H73" i="1"/>
  <c r="H53"/>
  <c r="E217"/>
  <c r="C117"/>
  <c r="I52"/>
  <c r="J17"/>
  <c r="I142"/>
  <c r="K185"/>
  <c r="K176"/>
  <c r="L96"/>
  <c r="L59"/>
  <c r="L138"/>
  <c r="L132"/>
  <c r="K72"/>
  <c r="J183"/>
  <c r="I185"/>
  <c r="I187" s="1"/>
  <c r="I141"/>
  <c r="K174"/>
  <c r="K64"/>
  <c r="K177" l="1"/>
  <c r="K187" s="1"/>
  <c r="E75"/>
  <c r="E77" s="1"/>
  <c r="E79" s="1"/>
  <c r="E80" s="1"/>
  <c r="E85" s="1"/>
  <c r="E88" s="1"/>
  <c r="D106"/>
  <c r="D133"/>
  <c r="D134"/>
  <c r="J52"/>
  <c r="K17"/>
  <c r="H44" i="2"/>
  <c r="H45" s="1"/>
  <c r="I73" i="1"/>
  <c r="I53"/>
  <c r="D100"/>
  <c r="D122"/>
  <c r="J142"/>
  <c r="L174"/>
  <c r="L177" s="1"/>
  <c r="L187" s="1"/>
  <c r="L64"/>
  <c r="J141"/>
  <c r="J185"/>
  <c r="J187" s="1"/>
  <c r="M138"/>
  <c r="M141"/>
  <c r="M142"/>
  <c r="D163" l="1"/>
  <c r="K52"/>
  <c r="L17"/>
  <c r="E92"/>
  <c r="J73"/>
  <c r="I44" i="2"/>
  <c r="I45" s="1"/>
  <c r="J53" i="1"/>
  <c r="E114"/>
  <c r="E107"/>
  <c r="D123"/>
  <c r="D108"/>
  <c r="K142"/>
  <c r="K141"/>
  <c r="E54" l="1"/>
  <c r="D164"/>
  <c r="E54" i="4"/>
  <c r="E55" s="1"/>
  <c r="D125" i="1"/>
  <c r="D116" s="1"/>
  <c r="D117" s="1"/>
  <c r="D136"/>
  <c r="D135"/>
  <c r="J44" i="2"/>
  <c r="J45" s="1"/>
  <c r="K73" i="1"/>
  <c r="K53"/>
  <c r="E105"/>
  <c r="E104"/>
  <c r="E124"/>
  <c r="M17"/>
  <c r="L52"/>
  <c r="D110"/>
  <c r="D111" s="1"/>
  <c r="L141"/>
  <c r="L142"/>
  <c r="L73" l="1"/>
  <c r="K44" i="2"/>
  <c r="K45" s="1"/>
  <c r="B47" s="1"/>
  <c r="B161" i="1" s="1"/>
  <c r="L53"/>
  <c r="E63" i="4"/>
  <c r="E7" s="1"/>
  <c r="E46"/>
  <c r="E6" s="1"/>
  <c r="E97" i="1"/>
  <c r="E98" s="1"/>
  <c r="F76"/>
  <c r="E55"/>
  <c r="E106" l="1"/>
  <c r="E134"/>
  <c r="E133"/>
  <c r="F75"/>
  <c r="F77" s="1"/>
  <c r="F79" s="1"/>
  <c r="F80" s="1"/>
  <c r="F85" s="1"/>
  <c r="F88" s="1"/>
  <c r="E100"/>
  <c r="E122"/>
  <c r="B162"/>
  <c r="K159" s="1"/>
  <c r="I159" l="1"/>
  <c r="L159"/>
  <c r="J159"/>
  <c r="E159"/>
  <c r="C159"/>
  <c r="C168" s="1"/>
  <c r="C139" s="1"/>
  <c r="C140" s="1"/>
  <c r="H159"/>
  <c r="G159"/>
  <c r="F159"/>
  <c r="F114"/>
  <c r="F107"/>
  <c r="E108"/>
  <c r="E110" s="1"/>
  <c r="E111" s="1"/>
  <c r="E123"/>
  <c r="D159"/>
  <c r="D168" s="1"/>
  <c r="D139" s="1"/>
  <c r="E163"/>
  <c r="F92"/>
  <c r="C143" l="1"/>
  <c r="C144"/>
  <c r="C145" s="1"/>
  <c r="C146" s="1"/>
  <c r="D144"/>
  <c r="D143"/>
  <c r="E125"/>
  <c r="E116" s="1"/>
  <c r="E117" s="1"/>
  <c r="E164"/>
  <c r="E168" s="1"/>
  <c r="E139" s="1"/>
  <c r="F54" i="4"/>
  <c r="F55" s="1"/>
  <c r="F54" i="1"/>
  <c r="E136"/>
  <c r="E135"/>
  <c r="F105"/>
  <c r="F104"/>
  <c r="F124"/>
  <c r="C188"/>
  <c r="D140"/>
  <c r="C190" l="1"/>
  <c r="C189"/>
  <c r="F63" i="4"/>
  <c r="F7" s="1"/>
  <c r="F46"/>
  <c r="F6" s="1"/>
  <c r="D145" i="1"/>
  <c r="D146" s="1"/>
  <c r="D188"/>
  <c r="D190" s="1"/>
  <c r="E140"/>
  <c r="F97"/>
  <c r="F98" s="1"/>
  <c r="F55"/>
  <c r="G76"/>
  <c r="E144"/>
  <c r="E145" s="1"/>
  <c r="E146" s="1"/>
  <c r="E143"/>
  <c r="F106" l="1"/>
  <c r="F134"/>
  <c r="G75"/>
  <c r="G77" s="1"/>
  <c r="G79" s="1"/>
  <c r="G80" s="1"/>
  <c r="G85" s="1"/>
  <c r="G88" s="1"/>
  <c r="F133"/>
  <c r="E188"/>
  <c r="F100"/>
  <c r="F122"/>
  <c r="D189"/>
  <c r="E189" l="1"/>
  <c r="F163"/>
  <c r="E190"/>
  <c r="G92"/>
  <c r="G107"/>
  <c r="G114"/>
  <c r="F123"/>
  <c r="F108"/>
  <c r="G104" l="1"/>
  <c r="G105"/>
  <c r="G54"/>
  <c r="F125"/>
  <c r="F116" s="1"/>
  <c r="F117" s="1"/>
  <c r="G54" i="4"/>
  <c r="G55" s="1"/>
  <c r="F164" i="1"/>
  <c r="F168" s="1"/>
  <c r="F139" s="1"/>
  <c r="F136"/>
  <c r="F135"/>
  <c r="G124"/>
  <c r="F110"/>
  <c r="F111" s="1"/>
  <c r="F144" l="1"/>
  <c r="F143"/>
  <c r="F140"/>
  <c r="G63" i="4"/>
  <c r="G7" s="1"/>
  <c r="G46"/>
  <c r="G6" s="1"/>
  <c r="G97" i="1"/>
  <c r="G98" s="1"/>
  <c r="H76"/>
  <c r="G55"/>
  <c r="F188" l="1"/>
  <c r="F145"/>
  <c r="F146" s="1"/>
  <c r="G106"/>
  <c r="H75"/>
  <c r="H77" s="1"/>
  <c r="H79" s="1"/>
  <c r="H80" s="1"/>
  <c r="H85" s="1"/>
  <c r="H88" s="1"/>
  <c r="G133"/>
  <c r="G134"/>
  <c r="G100"/>
  <c r="G122"/>
  <c r="G163" l="1"/>
  <c r="H92"/>
  <c r="F190"/>
  <c r="F189"/>
  <c r="H114"/>
  <c r="H107"/>
  <c r="G123"/>
  <c r="G108"/>
  <c r="G110" s="1"/>
  <c r="G111" s="1"/>
  <c r="H124" l="1"/>
  <c r="G125"/>
  <c r="G116" s="1"/>
  <c r="G117" s="1"/>
  <c r="H54"/>
  <c r="H54" i="4"/>
  <c r="H55" s="1"/>
  <c r="G164" i="1"/>
  <c r="G168" s="1"/>
  <c r="G139" s="1"/>
  <c r="G136"/>
  <c r="G135"/>
  <c r="H105"/>
  <c r="H104"/>
  <c r="H63" i="4" l="1"/>
  <c r="H7" s="1"/>
  <c r="H46"/>
  <c r="H6" s="1"/>
  <c r="G143" i="1"/>
  <c r="G144"/>
  <c r="G140"/>
  <c r="I76"/>
  <c r="H55"/>
  <c r="H97"/>
  <c r="H98" s="1"/>
  <c r="H134" l="1"/>
  <c r="H106"/>
  <c r="I75"/>
  <c r="I77" s="1"/>
  <c r="I79" s="1"/>
  <c r="I80" s="1"/>
  <c r="I85" s="1"/>
  <c r="I88" s="1"/>
  <c r="H133"/>
  <c r="G188"/>
  <c r="H100"/>
  <c r="H122"/>
  <c r="G145"/>
  <c r="G146" s="1"/>
  <c r="I92" l="1"/>
  <c r="H163"/>
  <c r="G190"/>
  <c r="G189"/>
  <c r="I107"/>
  <c r="I114"/>
  <c r="H123"/>
  <c r="H108"/>
  <c r="I54" l="1"/>
  <c r="H164"/>
  <c r="H168" s="1"/>
  <c r="H139" s="1"/>
  <c r="H125"/>
  <c r="H116" s="1"/>
  <c r="H117" s="1"/>
  <c r="I54" i="4"/>
  <c r="I55" s="1"/>
  <c r="H136" i="1"/>
  <c r="H135"/>
  <c r="I105"/>
  <c r="I104"/>
  <c r="I124"/>
  <c r="H110"/>
  <c r="H111" s="1"/>
  <c r="J76" l="1"/>
  <c r="I97"/>
  <c r="I98" s="1"/>
  <c r="I55"/>
  <c r="I46" i="4"/>
  <c r="I6" s="1"/>
  <c r="I63"/>
  <c r="I7" s="1"/>
  <c r="H143" i="1"/>
  <c r="H144"/>
  <c r="H140"/>
  <c r="J75" l="1"/>
  <c r="J77" s="1"/>
  <c r="J79" s="1"/>
  <c r="J80" s="1"/>
  <c r="J85" s="1"/>
  <c r="J88" s="1"/>
  <c r="I133"/>
  <c r="I134"/>
  <c r="I106"/>
  <c r="H145"/>
  <c r="H146" s="1"/>
  <c r="H188"/>
  <c r="I100"/>
  <c r="I122"/>
  <c r="I163" l="1"/>
  <c r="H190"/>
  <c r="H189"/>
  <c r="J92"/>
  <c r="J107"/>
  <c r="J114"/>
  <c r="I123"/>
  <c r="I108"/>
  <c r="J124" l="1"/>
  <c r="I164"/>
  <c r="I168" s="1"/>
  <c r="I139" s="1"/>
  <c r="I125"/>
  <c r="I116" s="1"/>
  <c r="I117" s="1"/>
  <c r="J54"/>
  <c r="J54" i="4"/>
  <c r="J55" s="1"/>
  <c r="I136" i="1"/>
  <c r="I135"/>
  <c r="J105"/>
  <c r="J104"/>
  <c r="I110"/>
  <c r="I111" s="1"/>
  <c r="J97" l="1"/>
  <c r="J98" s="1"/>
  <c r="K76"/>
  <c r="J55"/>
  <c r="I143"/>
  <c r="I144"/>
  <c r="I140"/>
  <c r="J46" i="4"/>
  <c r="J6" s="1"/>
  <c r="J63"/>
  <c r="J7" s="1"/>
  <c r="I145" i="1" l="1"/>
  <c r="I146" s="1"/>
  <c r="K75"/>
  <c r="K77" s="1"/>
  <c r="K79" s="1"/>
  <c r="K80" s="1"/>
  <c r="K85" s="1"/>
  <c r="K88" s="1"/>
  <c r="J134"/>
  <c r="J133"/>
  <c r="J106"/>
  <c r="J100"/>
  <c r="J122"/>
  <c r="I188"/>
  <c r="K92" l="1"/>
  <c r="I190"/>
  <c r="I189"/>
  <c r="J163"/>
  <c r="K107"/>
  <c r="K114"/>
  <c r="J123"/>
  <c r="J108"/>
  <c r="K54" i="4" l="1"/>
  <c r="K55" s="1"/>
  <c r="J125" i="1"/>
  <c r="J116" s="1"/>
  <c r="J117" s="1"/>
  <c r="K54"/>
  <c r="J164"/>
  <c r="J168" s="1"/>
  <c r="J139" s="1"/>
  <c r="J136"/>
  <c r="J135"/>
  <c r="K124"/>
  <c r="K104"/>
  <c r="K105"/>
  <c r="J110"/>
  <c r="J111" s="1"/>
  <c r="J143" l="1"/>
  <c r="J144"/>
  <c r="J140"/>
  <c r="K97"/>
  <c r="K98" s="1"/>
  <c r="L76"/>
  <c r="K55"/>
  <c r="K46" i="4"/>
  <c r="K6" s="1"/>
  <c r="K63"/>
  <c r="K7" s="1"/>
  <c r="J145" i="1" l="1"/>
  <c r="J146" s="1"/>
  <c r="J188"/>
  <c r="K106"/>
  <c r="K134"/>
  <c r="K133"/>
  <c r="L75"/>
  <c r="L77" s="1"/>
  <c r="L79" s="1"/>
  <c r="L80" s="1"/>
  <c r="L85" s="1"/>
  <c r="L88" s="1"/>
  <c r="K100"/>
  <c r="K122"/>
  <c r="L114" l="1"/>
  <c r="L107"/>
  <c r="K108"/>
  <c r="K110" s="1"/>
  <c r="K111" s="1"/>
  <c r="K123"/>
  <c r="J190"/>
  <c r="J189"/>
  <c r="K163"/>
  <c r="L92"/>
  <c r="L54" i="4" l="1"/>
  <c r="L55" s="1"/>
  <c r="L54" i="1"/>
  <c r="K125"/>
  <c r="K116" s="1"/>
  <c r="K117" s="1"/>
  <c r="K164"/>
  <c r="K168" s="1"/>
  <c r="K136"/>
  <c r="K135"/>
  <c r="L105"/>
  <c r="L104"/>
  <c r="L124"/>
  <c r="L63" i="4" l="1"/>
  <c r="L7" s="1"/>
  <c r="L46"/>
  <c r="L6" s="1"/>
  <c r="K139" i="1"/>
  <c r="L55"/>
  <c r="L97"/>
  <c r="L98" s="1"/>
  <c r="L106" l="1"/>
  <c r="L133"/>
  <c r="L134"/>
  <c r="K144"/>
  <c r="K143"/>
  <c r="K140"/>
  <c r="L100"/>
  <c r="L122"/>
  <c r="K188" l="1"/>
  <c r="L108"/>
  <c r="L110" s="1"/>
  <c r="L111" s="1"/>
  <c r="L123"/>
  <c r="K145"/>
  <c r="K146" s="1"/>
  <c r="L163"/>
  <c r="M54" i="4" l="1"/>
  <c r="M55" s="1"/>
  <c r="L164" i="1"/>
  <c r="L168" s="1"/>
  <c r="L125"/>
  <c r="L116" s="1"/>
  <c r="L117" s="1"/>
  <c r="L136"/>
  <c r="L135"/>
  <c r="K190"/>
  <c r="K189"/>
  <c r="M46" i="4" l="1"/>
  <c r="M6" s="1"/>
  <c r="M63"/>
  <c r="M7" s="1"/>
  <c r="L139" i="1"/>
  <c r="B191"/>
  <c r="L143" l="1"/>
  <c r="L144"/>
  <c r="M143"/>
  <c r="L140"/>
  <c r="L188" l="1"/>
  <c r="B150"/>
  <c r="L145"/>
  <c r="L146" s="1"/>
  <c r="B148" s="1"/>
  <c r="B198" l="1"/>
  <c r="L190"/>
  <c r="B190" s="1"/>
  <c r="B192" s="1"/>
  <c r="L189"/>
  <c r="B197" s="1"/>
  <c r="B152"/>
  <c r="B200" l="1"/>
  <c r="C204" s="1"/>
  <c r="F217"/>
  <c r="B204"/>
  <c r="A239" l="1"/>
</calcChain>
</file>

<file path=xl/comments1.xml><?xml version="1.0" encoding="utf-8"?>
<comments xmlns="http://schemas.openxmlformats.org/spreadsheetml/2006/main">
  <authors>
    <author>instructor</author>
    <author>Werner Zitzman</author>
  </authors>
  <commentList>
    <comment ref="A34" authorId="0">
      <text>
        <r>
          <rPr>
            <b/>
            <sz val="8"/>
            <color indexed="81"/>
            <rFont val="Tahoma"/>
            <family val="2"/>
          </rPr>
          <t>Sector Manufacturero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34" authorId="1">
      <text>
        <r>
          <rPr>
            <b/>
            <sz val="8"/>
            <color indexed="81"/>
            <rFont val="Tahoma"/>
            <family val="2"/>
          </rPr>
          <t>Empresas Comerciales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Werner Zitzman</author>
    <author>Werner Zitzmann</author>
    <author>wzitzman</author>
    <author>instructor</author>
  </authors>
  <commentList>
    <comment ref="B4" authorId="0">
      <text>
        <r>
          <rPr>
            <b/>
            <sz val="8"/>
            <color indexed="81"/>
            <rFont val="Tahoma"/>
            <family val="2"/>
          </rPr>
          <t>Assumption</t>
        </r>
        <r>
          <rPr>
            <sz val="8"/>
            <color indexed="81"/>
            <rFont val="Tahoma"/>
            <family val="2"/>
          </rPr>
          <t xml:space="preserve">: Ventas
  Normal distribution
  Mean = 1.000.000 
  Std. Dev. = 200.000 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>Assumption</t>
        </r>
        <r>
          <rPr>
            <sz val="8"/>
            <color indexed="81"/>
            <rFont val="Tahoma"/>
            <family val="2"/>
          </rPr>
          <t>: Costo de Ventas
  Triangular distribution
  Minimum = 55%
  Likeliest = 58%
  Maximum = 65%</t>
        </r>
      </text>
    </comment>
    <comment ref="B8" authorId="0">
      <text>
        <r>
          <rPr>
            <b/>
            <sz val="8"/>
            <color indexed="81"/>
            <rFont val="Tahoma"/>
            <family val="2"/>
          </rPr>
          <t>Decision Variable</t>
        </r>
        <r>
          <rPr>
            <sz val="8"/>
            <color indexed="81"/>
            <rFont val="Tahoma"/>
            <family val="2"/>
          </rPr>
          <t>: Rotación de Inventarios
  Minimum = 4,00 veces
  Maximum = 8,00 veces
  Step = 1,00 veces</t>
        </r>
      </text>
    </comment>
    <comment ref="B9" authorId="0">
      <text>
        <r>
          <rPr>
            <b/>
            <sz val="8"/>
            <color indexed="81"/>
            <rFont val="Tahoma"/>
            <family val="2"/>
          </rPr>
          <t>Assumption</t>
        </r>
        <r>
          <rPr>
            <sz val="8"/>
            <color indexed="81"/>
            <rFont val="Tahoma"/>
            <family val="2"/>
          </rPr>
          <t xml:space="preserve">: Gastos de Administración
  Uniform distribution
  Minimum = 80.000 
  Maximum = 105.000 </t>
        </r>
      </text>
    </comment>
    <comment ref="B11" authorId="0">
      <text>
        <r>
          <rPr>
            <b/>
            <sz val="8"/>
            <color indexed="81"/>
            <rFont val="Tahoma"/>
            <family val="2"/>
          </rPr>
          <t>Assumption</t>
        </r>
        <r>
          <rPr>
            <sz val="8"/>
            <color indexed="81"/>
            <rFont val="Tahoma"/>
            <family val="2"/>
          </rPr>
          <t>: Gastos de Ventas
  Uniform distribution
  Minimum = 3%
  Maximum = 6%</t>
        </r>
      </text>
    </comment>
    <comment ref="B12" authorId="0">
      <text>
        <r>
          <rPr>
            <b/>
            <sz val="8"/>
            <color indexed="81"/>
            <rFont val="Tahoma"/>
            <family val="2"/>
          </rPr>
          <t>Decision Variable</t>
        </r>
        <r>
          <rPr>
            <sz val="8"/>
            <color indexed="81"/>
            <rFont val="Tahoma"/>
            <family val="2"/>
          </rPr>
          <t xml:space="preserve">: Inversiones en Activos Fijos
  Minimum = 200.000 
  Maximum = 300.000 
  Step = 20.000 </t>
        </r>
      </text>
    </comment>
    <comment ref="B15" authorId="0">
      <text>
        <r>
          <rPr>
            <b/>
            <sz val="8"/>
            <color indexed="81"/>
            <rFont val="Tahoma"/>
            <family val="2"/>
          </rPr>
          <t>Assumption</t>
        </r>
        <r>
          <rPr>
            <sz val="8"/>
            <color indexed="81"/>
            <rFont val="Tahoma"/>
            <family val="2"/>
          </rPr>
          <t>: Tasa de Interés Nominal
  Triangular distribution
  Minimum = 9,50%
  Likeliest = 12,00%
  Maximum = 22,00%</t>
        </r>
      </text>
    </comment>
    <comment ref="B20" authorId="0">
      <text>
        <r>
          <rPr>
            <b/>
            <sz val="8"/>
            <color indexed="81"/>
            <rFont val="Tahoma"/>
            <family val="2"/>
          </rPr>
          <t>Assumption</t>
        </r>
        <r>
          <rPr>
            <sz val="8"/>
            <color indexed="81"/>
            <rFont val="Tahoma"/>
            <family val="2"/>
          </rPr>
          <t>: Días Plazo Pago Proveedores
  Uniform distribution
  Minimum = 60 días
  Maximum = 90 días</t>
        </r>
      </text>
    </comment>
    <comment ref="B21" authorId="0">
      <text>
        <r>
          <rPr>
            <b/>
            <sz val="8"/>
            <color indexed="81"/>
            <rFont val="Tahoma"/>
            <family val="2"/>
          </rPr>
          <t>Assumption</t>
        </r>
        <r>
          <rPr>
            <sz val="8"/>
            <color indexed="81"/>
            <rFont val="Tahoma"/>
            <family val="2"/>
          </rPr>
          <t>: Días Plazo Cartera
  Triangular distribution
  Minimum = 30 días
  Likeliest = 60 días
  Maximum = 75 días</t>
        </r>
      </text>
    </comment>
    <comment ref="A24" authorId="1">
      <text>
        <r>
          <rPr>
            <b/>
            <sz val="8"/>
            <color indexed="81"/>
            <rFont val="Tahoma"/>
            <family val="2"/>
          </rPr>
          <t>Reparte de dividendos en proporción sobre el 90% de la utilidad neta despues de impuestos, debido a la constitución de la reserva legal del 10%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4" authorId="0">
      <text>
        <r>
          <rPr>
            <b/>
            <sz val="8"/>
            <color indexed="81"/>
            <rFont val="Tahoma"/>
            <family val="2"/>
          </rPr>
          <t>Decision Variable</t>
        </r>
        <r>
          <rPr>
            <sz val="8"/>
            <color indexed="81"/>
            <rFont val="Tahoma"/>
            <family val="2"/>
          </rPr>
          <t>: Relación Pago ( % distr. Dividendos)
  Minimum = 0%
  Maximum = 40%</t>
        </r>
      </text>
    </comment>
    <comment ref="A26" authorId="2">
      <text>
        <r>
          <rPr>
            <b/>
            <sz val="8"/>
            <color indexed="81"/>
            <rFont val="Tahoma"/>
            <family val="2"/>
          </rPr>
          <t>VRC= Valor residual Capitalizado: consiste en considerar los valores futuros que ocurran despues del horizonte de análisis; se trata de traer a valor presente la serie futura a infinito.
La capitalización a infinito, se obtiene dividiendo por la tasa de interés (WACC); cuando hay crecimiento se divide por la diferencia entre el WACC y el gradiente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4" authorId="3">
      <text>
        <r>
          <rPr>
            <b/>
            <sz val="8"/>
            <color indexed="81"/>
            <rFont val="Tahoma"/>
            <family val="2"/>
          </rPr>
          <t>La base de liquidación es el mayor entre dos valores: o la renta presuntiva (3% del patrimonio del período anterior) vs utilidad antes de impuestos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55" authorId="0">
      <text>
        <r>
          <rPr>
            <b/>
            <sz val="8"/>
            <color indexed="81"/>
            <rFont val="Tahoma"/>
            <family val="2"/>
          </rPr>
          <t>Forecast</t>
        </r>
        <r>
          <rPr>
            <sz val="8"/>
            <color indexed="81"/>
            <rFont val="Tahoma"/>
            <family val="2"/>
          </rPr>
          <t>: Utilidad Neta 1</t>
        </r>
      </text>
    </comment>
    <comment ref="C67" authorId="3">
      <text>
        <r>
          <rPr>
            <b/>
            <sz val="8"/>
            <color indexed="81"/>
            <rFont val="Tahoma"/>
            <family val="2"/>
          </rPr>
          <t>Por una sola vez para determinar el plan de inversión inicial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80" authorId="0">
      <text>
        <r>
          <rPr>
            <b/>
            <sz val="8"/>
            <color indexed="81"/>
            <rFont val="Tahoma"/>
            <family val="2"/>
          </rPr>
          <t>Forecast</t>
        </r>
        <r>
          <rPr>
            <sz val="8"/>
            <color indexed="81"/>
            <rFont val="Tahoma"/>
            <family val="2"/>
          </rPr>
          <t>: Caja 1</t>
        </r>
      </text>
    </comment>
    <comment ref="A116" authorId="0">
      <text>
        <r>
          <rPr>
            <b/>
            <sz val="8"/>
            <color indexed="81"/>
            <rFont val="Tahoma"/>
            <family val="2"/>
          </rPr>
          <t>Empresas Comerciales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16" authorId="0">
      <text>
        <r>
          <rPr>
            <b/>
            <sz val="8"/>
            <color indexed="81"/>
            <rFont val="Tahoma"/>
            <family val="2"/>
          </rPr>
          <t>Forecast</t>
        </r>
        <r>
          <rPr>
            <sz val="8"/>
            <color indexed="81"/>
            <rFont val="Tahoma"/>
            <family val="2"/>
          </rPr>
          <t>: z-score</t>
        </r>
      </text>
    </comment>
    <comment ref="A134" authorId="3">
      <text>
        <r>
          <rPr>
            <b/>
            <sz val="8"/>
            <color indexed="81"/>
            <rFont val="Tahoma"/>
            <family val="2"/>
          </rPr>
          <t>ROI= Return on Investment
ROA=Return on Assets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38" authorId="0">
      <text>
        <r>
          <rPr>
            <b/>
            <sz val="8"/>
            <color indexed="81"/>
            <rFont val="Tahoma"/>
            <family val="2"/>
          </rPr>
          <t>Utilidad Operacional
despues de Impuestos=
Ut. Op. X ( 1 -35%)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41" authorId="0">
      <text>
        <r>
          <rPr>
            <b/>
            <sz val="8"/>
            <color indexed="81"/>
            <rFont val="Tahoma"/>
            <family val="2"/>
          </rPr>
          <t>Se trata del capital invertido inicialmente, determinado así:
Activos Totales (Solo los relacionados con el "core  Business" de la empresa), menos Pasivos de Corto Plazo No financieros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41" authorId="1">
      <text>
        <r>
          <rPr>
            <b/>
            <sz val="8"/>
            <color indexed="81"/>
            <rFont val="Tahoma"/>
            <family val="2"/>
          </rPr>
          <t>Corrección: Restar depreciación para tener Cap. Op. NETO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46" authorId="2">
      <text>
        <r>
          <rPr>
            <b/>
            <sz val="8"/>
            <color indexed="81"/>
            <rFont val="Tahoma"/>
            <family val="2"/>
          </rPr>
          <t>MVA=Market Value Added: Valor de de mercado agregado, corresponde al valor presente neto de EVA's futuros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48" authorId="2">
      <text>
        <r>
          <rPr>
            <b/>
            <sz val="8"/>
            <color indexed="81"/>
            <rFont val="Tahoma"/>
            <family val="2"/>
          </rPr>
          <t>MVA=Market Value Added: Valor de de mercado agregado, corresponde al valor presente neto de EVA's futuros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0" authorId="1">
      <text>
        <r>
          <rPr>
            <b/>
            <sz val="8"/>
            <color indexed="81"/>
            <rFont val="Tahoma"/>
            <family val="2"/>
          </rPr>
          <t>Refleja el ROIC del Valor Terminal*
* Damodaran: evaln.xls 21 abril 1998</t>
        </r>
      </text>
    </comment>
    <comment ref="B152" authorId="0">
      <text>
        <r>
          <rPr>
            <b/>
            <sz val="8"/>
            <color indexed="81"/>
            <rFont val="Tahoma"/>
            <family val="2"/>
          </rPr>
          <t>Forecast</t>
        </r>
        <r>
          <rPr>
            <sz val="8"/>
            <color indexed="81"/>
            <rFont val="Tahoma"/>
            <family val="2"/>
          </rPr>
          <t>: VALOR PATRIMONIAL MVA</t>
        </r>
      </text>
    </comment>
    <comment ref="B167" authorId="3">
      <text>
        <r>
          <rPr>
            <b/>
            <sz val="8"/>
            <color indexed="10"/>
            <rFont val="Tahoma"/>
            <family val="2"/>
          </rPr>
          <t>Debe reflejar la aversión al riesgo de la empresa total</t>
        </r>
        <r>
          <rPr>
            <sz val="8"/>
            <color indexed="10"/>
            <rFont val="Tahoma"/>
            <family val="2"/>
          </rPr>
          <t xml:space="preserve">
</t>
        </r>
      </text>
    </comment>
    <comment ref="C189" authorId="1">
      <text>
        <r>
          <rPr>
            <b/>
            <sz val="8"/>
            <color indexed="10"/>
            <rFont val="Tahoma"/>
            <family val="2"/>
          </rPr>
          <t>Ojo: Inversión Inicial ?</t>
        </r>
        <r>
          <rPr>
            <sz val="8"/>
            <color indexed="10"/>
            <rFont val="Tahoma"/>
            <family val="2"/>
          </rPr>
          <t xml:space="preserve">
</t>
        </r>
      </text>
    </comment>
    <comment ref="B204" authorId="3">
      <text>
        <r>
          <rPr>
            <b/>
            <sz val="8"/>
            <color indexed="81"/>
            <rFont val="Tahoma"/>
            <family val="2"/>
          </rPr>
          <t>Valor con MVA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204" authorId="3">
      <text>
        <r>
          <rPr>
            <b/>
            <sz val="8"/>
            <color indexed="81"/>
            <rFont val="Tahoma"/>
            <family val="2"/>
          </rPr>
          <t>Valor con FdeCL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instructor</author>
  </authors>
  <commentList>
    <comment ref="B5" authorId="0">
      <text>
        <r>
          <rPr>
            <b/>
            <sz val="8"/>
            <color indexed="81"/>
            <rFont val="Tahoma"/>
            <family val="2"/>
          </rPr>
          <t>Puede vincularlo con los datos de entrada del modelo B15 o si prefiere introducirlo a mano, proceda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44" authorId="0">
      <text>
        <r>
          <rPr>
            <b/>
            <sz val="8"/>
            <color indexed="81"/>
            <rFont val="Tahoma"/>
            <family val="2"/>
          </rPr>
          <t>El primer pago de intereses incluye los gastos iniciales del préstamo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instructor</author>
  </authors>
  <commentList>
    <comment ref="C3" authorId="0">
      <text>
        <r>
          <rPr>
            <sz val="8"/>
            <color indexed="81"/>
            <rFont val="Tahoma"/>
            <family val="2"/>
          </rPr>
          <t>Lo puede vincular con B27 de Modelo</t>
        </r>
      </text>
    </comment>
  </commentList>
</comments>
</file>

<file path=xl/comments5.xml><?xml version="1.0" encoding="utf-8"?>
<comments xmlns="http://schemas.openxmlformats.org/spreadsheetml/2006/main">
  <authors>
    <author>instructor</author>
  </authors>
  <commentList>
    <comment ref="A12" authorId="0">
      <text>
        <r>
          <rPr>
            <b/>
            <sz val="8"/>
            <color indexed="81"/>
            <rFont val="Tahoma"/>
            <family val="2"/>
          </rPr>
          <t>Dividendo Actual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3" authorId="0">
      <text>
        <r>
          <rPr>
            <b/>
            <sz val="8"/>
            <color indexed="81"/>
            <rFont val="Tahoma"/>
            <family val="2"/>
          </rPr>
          <t>Aumento de dividendo para el año siguiente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3" authorId="0">
      <text>
        <r>
          <rPr>
            <b/>
            <sz val="8"/>
            <color indexed="81"/>
            <rFont val="Tahoma"/>
            <family val="2"/>
          </rPr>
          <t>Decisión de la asamblea de accionistas, del aumento del dividendo: Cálculo de D</t>
        </r>
        <r>
          <rPr>
            <b/>
            <vertAlign val="subscript"/>
            <sz val="10"/>
            <color indexed="81"/>
            <rFont val="Tahoma"/>
            <family val="2"/>
          </rPr>
          <t>1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4" authorId="0">
      <text>
        <r>
          <rPr>
            <b/>
            <sz val="8"/>
            <color indexed="81"/>
            <rFont val="Tahoma"/>
            <family val="2"/>
          </rPr>
          <t>Precio de mercado de la acción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4" authorId="0">
      <text>
        <r>
          <rPr>
            <b/>
            <sz val="8"/>
            <color indexed="81"/>
            <rFont val="Tahoma"/>
            <family val="2"/>
          </rPr>
          <t>Información de la Bolsa: Precio de mercado de la acción hoy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15" authorId="0">
      <text>
        <r>
          <rPr>
            <b/>
            <sz val="8"/>
            <color indexed="81"/>
            <rFont val="Tahoma"/>
            <family val="2"/>
          </rPr>
          <t>Tasa de crecimiento histórica del (de los) dividendo(s)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38" authorId="0">
      <text>
        <r>
          <rPr>
            <b/>
            <sz val="8"/>
            <color indexed="81"/>
            <rFont val="Tahoma"/>
            <family val="2"/>
          </rPr>
          <t>William Sharpe: Premio Nobel de Economía de 1992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58" authorId="0">
      <text>
        <r>
          <rPr>
            <b/>
            <sz val="8"/>
            <color indexed="81"/>
            <rFont val="Tahoma"/>
            <family val="2"/>
          </rPr>
          <t>Expresar K rf sobre la base despues de impuestos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<sst xmlns="http://schemas.openxmlformats.org/spreadsheetml/2006/main" count="1124" uniqueCount="961">
  <si>
    <t>Modelación para Valorar un Proyecto</t>
  </si>
  <si>
    <t>Parámetros</t>
  </si>
  <si>
    <t>Ventas</t>
  </si>
  <si>
    <t>Aumento de Precio</t>
  </si>
  <si>
    <t>Aumento de Volumen</t>
  </si>
  <si>
    <t>Costo de Ventas</t>
  </si>
  <si>
    <t>Rotación de Inventarios</t>
  </si>
  <si>
    <t>Gastos de Administración</t>
  </si>
  <si>
    <t>Aumento en Gtos de Admón</t>
  </si>
  <si>
    <t>Gastos de Ventas</t>
  </si>
  <si>
    <t>Inversiones en Activos Fijos</t>
  </si>
  <si>
    <t>Plazo de Depreciación</t>
  </si>
  <si>
    <t>Estado de Resultados</t>
  </si>
  <si>
    <t>Inventario Inicial</t>
  </si>
  <si>
    <t>Compras</t>
  </si>
  <si>
    <t>Disponible</t>
  </si>
  <si>
    <t>Inventario Final</t>
  </si>
  <si>
    <t>Utilidad Bruta</t>
  </si>
  <si>
    <t>Gastos de Depreciación</t>
  </si>
  <si>
    <t>Utilidad Operacional</t>
  </si>
  <si>
    <t>Gastos Financieros</t>
  </si>
  <si>
    <t>Utilidad Gravable</t>
  </si>
  <si>
    <t>Impuestos</t>
  </si>
  <si>
    <t>Utilidad Neta</t>
  </si>
  <si>
    <t>FLUJO DE CAJA MÉT. INDIRECTO</t>
  </si>
  <si>
    <t>Ingresos</t>
  </si>
  <si>
    <t>Depreciación</t>
  </si>
  <si>
    <t>Ctas x Pagar con Proveedores</t>
  </si>
  <si>
    <t>Aporte de Capital</t>
  </si>
  <si>
    <t>Préstamos Bancarios</t>
  </si>
  <si>
    <t>Egresos</t>
  </si>
  <si>
    <t>Efectivo</t>
  </si>
  <si>
    <t>Cartera</t>
  </si>
  <si>
    <t>Inventarios</t>
  </si>
  <si>
    <t>Requermtos. Cap. de Trabajo</t>
  </si>
  <si>
    <t>Inversión en Act. Fijos</t>
  </si>
  <si>
    <t>PLAN DE INVERSIÓN</t>
  </si>
  <si>
    <t>Amortización de Pasivos</t>
  </si>
  <si>
    <t>Dividendos</t>
  </si>
  <si>
    <t>SALDO DE CAJA</t>
  </si>
  <si>
    <t>SALDO ACUMULADO DE CAJA</t>
  </si>
  <si>
    <t>Proyección de P &amp; G</t>
  </si>
  <si>
    <t>Abrir los costos entre variables y Fijos; los variables se formularán como % de ventas y los fijos se darán en $ con</t>
  </si>
  <si>
    <t>los aumentos previstos en términos monetarios y/o reales.</t>
  </si>
  <si>
    <t>Flujo de Caja Método Indirecto:</t>
  </si>
  <si>
    <t>Consiste en partir de la Utilidad Operacional y ajustarla con cargos imputados en P&amp;G No desembolsados y</t>
  </si>
  <si>
    <t>adicionarle fuentes de fondos como son Aumentos en Pasivos, Capitalizaciones y reducciones de Activos; a</t>
  </si>
  <si>
    <t>la suma de los Ingresos establecidos de esa forma, se le restan : Inversiones en Capital de Trabajo y Activos Fijos,</t>
  </si>
  <si>
    <t>servicio de la deuda ( gastos financieros yamortización de pasivos ), pago de impuestos y reparto de utilidad.</t>
  </si>
  <si>
    <t>Este tipo de flujo de caja se suele utilizar para planeación financiera a largo plazo, encaminda a la evaluación</t>
  </si>
  <si>
    <t>de proyectos y valoración de empresas</t>
  </si>
  <si>
    <t xml:space="preserve">Parte de la Utilidad Operacional, agrega costos imputados no desembolsados ( depreciación, provisiones, </t>
  </si>
  <si>
    <t>amortización de diferidos, cesantías, etc).</t>
  </si>
  <si>
    <t>Los ajustes para llegar a tesorería desde la utilidad operacional corresponden al esquema de orígen y</t>
  </si>
  <si>
    <t>aplicación de Fondos, a saber:</t>
  </si>
  <si>
    <t>Fuentes: Disminuciones de Activos, aumentos en pasivos y aumentos patrimoniales</t>
  </si>
  <si>
    <t>Usos : Aumentos en Activos ( Plan de Inversión ), disminución de pasivos ( servicio de la deuda del principal ),</t>
  </si>
  <si>
    <t>reparto de utilidad</t>
  </si>
  <si>
    <t>Pagos de Impuestos</t>
  </si>
  <si>
    <t>Utilidades de Asap</t>
  </si>
  <si>
    <t>Determinación del plan de Inversión:</t>
  </si>
  <si>
    <t>Efectivo Operacional:</t>
  </si>
  <si>
    <t>Calcular el ciclo de Caja: Dias Stock Inventarios en Proceso + Terminados + DPC - DPP</t>
  </si>
  <si>
    <t>Calcular los costos y gastos operacionales diarios: (Mano de Obra + Gts Fabr. + Gts. Admón + Gts. Ventas)/360</t>
  </si>
  <si>
    <t>Multiplicar los ctos y gtos diarios x ciclo de Caja</t>
  </si>
  <si>
    <t>Cartera: Ventas diarias x Días Plazo Cobro</t>
  </si>
  <si>
    <t>Inventarios : Ver cifras en P &amp; G Inventarios finales y para año 2 en adelante las variaciones de los inventarios</t>
  </si>
  <si>
    <t>Inversión en Activos Fijos: Datos de entrada ( hoja de Activos Fijos )</t>
  </si>
  <si>
    <t>Financiación del Plan de Inversión</t>
  </si>
  <si>
    <t>1. Plan de Inversión x ( 1- Grado de Endeudamiento) = Aporte de Capital</t>
  </si>
  <si>
    <t>2. Calcular el pasivo con proveedores: Compras diarias x Días Plazo Pago</t>
  </si>
  <si>
    <t>3. Pasivo Financiero = Plan de Inversión - Aporte de Capital - Pasivo con Proveedores</t>
  </si>
  <si>
    <t>Crédito Bancario</t>
  </si>
  <si>
    <t>En la hoja adjunta encontrará las diferentes modalidades, simplemente alimente las condiciones y el valor del préstamo</t>
  </si>
  <si>
    <t>Z-score = 1.2x1 + 1.4x2 + 3,3x3 + 0.6 x4 +x5</t>
  </si>
  <si>
    <t>z&lt; 1.81 Peligro Inminente</t>
  </si>
  <si>
    <t>1.81 &lt; z &lt; 2.99 Zona Gris</t>
  </si>
  <si>
    <t>z &gt; 2.99 Zona Normal</t>
  </si>
  <si>
    <t>x1 = Capital de Trabajo Neto / Activos</t>
  </si>
  <si>
    <t>x2 = (suma Utilidad + Utilidad Retenida + Reservas ) / Activos</t>
  </si>
  <si>
    <t>x3 = Utilidad Operacional / Activos</t>
  </si>
  <si>
    <t>x4 = Patrimonio / Pasivos</t>
  </si>
  <si>
    <t>x5 = Rotación de Activos = Ventas / Activos</t>
  </si>
  <si>
    <t>Peligro</t>
  </si>
  <si>
    <t>Zona Gris</t>
  </si>
  <si>
    <t>Normal</t>
  </si>
  <si>
    <t>Flujo de Caja Método Directo:</t>
  </si>
  <si>
    <t>Recorrer P &amp; G y hacer el listado de lo que efectivamente entró a caja y salió de ella.</t>
  </si>
  <si>
    <t>Proyección de Balance General</t>
  </si>
  <si>
    <t>El balance es una consecuencia de P &amp; G y Flujo de Caja.</t>
  </si>
  <si>
    <t>Se alimenta de:</t>
  </si>
  <si>
    <t>Caja + Bancos: Proviene del saldo acumulado de Caja</t>
  </si>
  <si>
    <t>Cartera: Se origina del saldo del año 1, aumentado con la variación de cartera dada en el F de C del año 2</t>
  </si>
  <si>
    <t>Inventarios: Corresponden a los inventarios finales de P &amp; G</t>
  </si>
  <si>
    <t>Activo Fijo Bruto : proviene de Plan de Inversión del F de C</t>
  </si>
  <si>
    <t>Depreciación Acumulada: Se origina en P &amp; G y se acumula con los saldos anteriores</t>
  </si>
  <si>
    <t>Pasivo Financiero a corto plazo: Cuotas de abono a pasivos con vencimiento a 1 año vista ( Corto Plazo )</t>
  </si>
  <si>
    <t>Ctas x Pagar con Proveedores: Saldo original sale de F de C de los Ingresos y se incrementa con las variaciones</t>
  </si>
  <si>
    <t>de cada uno de los años siguientes</t>
  </si>
  <si>
    <t>Impuestos x Pagar : Provienen de Py G</t>
  </si>
  <si>
    <t>Pasivo Financiero a Largo Plazo : Abonos a obligaciones financieras a más de 1 año: suma hasta cancelar</t>
  </si>
  <si>
    <t>Capital Pagado: Se origina en el F de C</t>
  </si>
  <si>
    <t>Reserva Legal : Se dará con el 10% de la utilidad neta del año anterior y se acumula hasta completar el 50%</t>
  </si>
  <si>
    <t>del Capital Pagado</t>
  </si>
  <si>
    <t>Otras Reservas : Diferencia entre reserva legal mayor que el 50% del capital pagado y el 50% del mismo</t>
  </si>
  <si>
    <t>Utilidad del período: Sale de P &amp; G</t>
  </si>
  <si>
    <t>Utilidad Retenida: P &amp; G, al 90% menos dividendos pagados y acumulado en el tiempo</t>
  </si>
  <si>
    <t>Debe cuadrar en forma automática !</t>
  </si>
  <si>
    <t>Sensibilidad con 1 variable independiente y n- variables dependientes</t>
  </si>
  <si>
    <t>1. Generar en forma de columna las variaciones de la variable independiente</t>
  </si>
  <si>
    <t>2. Colocar el cursor en posición diagonal superior derecha con respecto al punto de partida</t>
  </si>
  <si>
    <t>3. Referenciar las variables dependientes deseadas en esa misma fila</t>
  </si>
  <si>
    <t>4. Colocar el cursor una celda encima de la posición de partida</t>
  </si>
  <si>
    <t>5. Señalar todo el rango</t>
  </si>
  <si>
    <t>6. Datos, Tabla, …. Indicar en la ventana de celda variable columna la coordenada de la var indep. (GE)</t>
  </si>
  <si>
    <t>Costo de los Inversionistas mediante modelo Gordon</t>
  </si>
  <si>
    <t>Se basa en la determinación de un precio de venta de la acción, mediante el cálculo en VNA de los</t>
  </si>
  <si>
    <t>flujos de dividendos futuros sacrificados, empleando coeficientes de crecimiento históricas. Con el</t>
  </si>
  <si>
    <t xml:space="preserve">precio de venta de las acciones a la fecha, el problema consiste en despejar de la serie futura la tasa </t>
  </si>
  <si>
    <t>Crystal Ball</t>
  </si>
  <si>
    <t>Determinación del Valor Residual Capitalizado para Valoración de Empresas.</t>
  </si>
  <si>
    <t>Consiste en asumir que despues del horizonte de análisis una empresa en marcha continuará generando</t>
  </si>
  <si>
    <t>Flujo de Caja Libre, al menos igual o con crecimiento al del último año considerado. Este valor debe</t>
  </si>
  <si>
    <t>capitalizarse a perpetuidad ( Expresar en VNA para el período n ) el flujo0 futuro y luego adicionarlo al</t>
  </si>
  <si>
    <t>valor bruto de la empresa. La capitalización se puede efectuar sin o con crecimiento, lo que implica</t>
  </si>
  <si>
    <t>que la fórmula para su determinación variará de la siguiente manera :</t>
  </si>
  <si>
    <t>Sin crecimiento : F de C L en VNA / WACC</t>
  </si>
  <si>
    <t>Con crecimiento: F de C l en VNA / ( WACC - Crecimiento )</t>
  </si>
  <si>
    <t>Análisis de sensibilidad con 2 variables independientes y 1 var. Dependiente</t>
  </si>
  <si>
    <t>5.1 Generar en de forma de columna las variaciones de la var. independiente</t>
  </si>
  <si>
    <t>5.2 Colocar el cursor en posición diagonal superior derecha</t>
  </si>
  <si>
    <t>5.3 Generar en forma de fila las variaciones de 2a var. Independiente</t>
  </si>
  <si>
    <t>5.4 Colocar el cursor una posición encima de la posición inicial</t>
  </si>
  <si>
    <t>5.5 Referenciar la variable dependiente</t>
  </si>
  <si>
    <t>5.6 Señalar todo el rango</t>
  </si>
  <si>
    <t>5.7 Datos, tabla, diligenciar las dos ventanas con las coordenadas correspondientes</t>
  </si>
  <si>
    <t>6. Uso de cuadros combinados y la función buscarv</t>
  </si>
  <si>
    <t>6.1 Diseñar una matriz que consta de 3 columnas: Secuencia de números,</t>
  </si>
  <si>
    <t>la segunda columna contendrá los rótulos y la 3a las fórmulas referenciadas</t>
  </si>
  <si>
    <t>al modelo</t>
  </si>
  <si>
    <t>6.2 Activar la herramienta de formularios y utilizar el ícono: cuadro Combinado</t>
  </si>
  <si>
    <t>6.2.1 En el cuadro de control se le suministra el rango de los rótulos (2a columna)</t>
  </si>
  <si>
    <t>6.2.2 Indicar en la venta de vínculo una coordenada para recibir el valor relacionado</t>
  </si>
  <si>
    <t>6.3 Utilizar la función buscarv (categoría búsqueda y referencia)</t>
  </si>
  <si>
    <t>6.3.1 Indicarle la coordenada del valor buscado (celda vinculada con el cuadro Combinado)</t>
  </si>
  <si>
    <t>6.3.2 Señalar en la ventana de rango la matriz con sus tres columnas</t>
  </si>
  <si>
    <t>6.3.3 En la tercera venta (indicador de columna) colocar el # correspondiente (3)</t>
  </si>
  <si>
    <t>ADMINISTRADOR DE ESCENARIOS</t>
  </si>
  <si>
    <t>1. Asignarle nombre a todas las variables (independientes y dependientes)</t>
  </si>
  <si>
    <t>2. Herramientas, escenarios</t>
  </si>
  <si>
    <t>2.1 Agregar… asignarle un nombre ( No más de 3 escenarios )</t>
  </si>
  <si>
    <t>2.2 Cambiar el crédito</t>
  </si>
  <si>
    <t>2.3 Definir las celdas de las variables independientes</t>
  </si>
  <si>
    <t>2.4 Darle valores a las variables del respectivo escenario</t>
  </si>
  <si>
    <t>2.5 Repetir los pasos anteriores para los demás escenarios</t>
  </si>
  <si>
    <t>3. Resumen: señalar las celdas de las variables dependientes deseadas</t>
  </si>
  <si>
    <t>4. Producir el informe escrito, agrupando tanto filas como columnas y desplegar progresivamente</t>
  </si>
  <si>
    <t>5. Personalización de la herramienta de escenarios</t>
  </si>
  <si>
    <t>5.1 Ver barra de herramientas, personalizar, Nueva y colocarle el nombre</t>
  </si>
  <si>
    <t>5.2 De la etiqueta de comandos acceder a Herramientas, y localizar la correspondiente a ventana</t>
  </si>
  <si>
    <t>5.3 Desplazar hacia arriba la nueva herramienta y cerrar lo demás.</t>
  </si>
  <si>
    <t>Protección en Excel</t>
  </si>
  <si>
    <t>1. Señalar todas las variables independientes: Formato, celdas, proteger, desbloquear y no ocultar</t>
  </si>
  <si>
    <t>2. Señalar todas las variables dependientes: Formato, celdas, proteger, bloquear y  ocultar</t>
  </si>
  <si>
    <t>3. Herramientas, proteger…….Hoja…. Libro</t>
  </si>
  <si>
    <t>PASOS A SEGUIR PARA LA VALORACIÓN</t>
  </si>
  <si>
    <t>1. Proyectar P &amp; G hasta llegar a la Utilidad operacional</t>
  </si>
  <si>
    <t>1.1 Diferenciar estructura de costos entre variables y fijos</t>
  </si>
  <si>
    <t>1.2 Ligar los costos variables como % de ventas</t>
  </si>
  <si>
    <t>1.3 Suministrar el compartamiento cambiante en el tiempo de los costos fijos ( precios corrientes)</t>
  </si>
  <si>
    <t>1.4 Tomar inflación diferencial por tipo de costo y gasto</t>
  </si>
  <si>
    <t>2. Estructurar el plan de Inversión</t>
  </si>
  <si>
    <t>2.1 Partiendo de DPC, Rotaciones de iNventarios, ciclo de caja y DPP, calcular el Capital de Trabajo</t>
  </si>
  <si>
    <t>2.1.1 Efectivo: Suma(MdeO, Gtos Fabción, Gastos A y V) / 360 x Ciclo de Caja °</t>
  </si>
  <si>
    <t>2.1.2 Cartera promedio: Ventas totales * DPC / 360</t>
  </si>
  <si>
    <t>2.1.3 Materia Prima: Costo de la Materia Prima / Rotación de Mat. Prima</t>
  </si>
  <si>
    <t>2.1.4 Productos en Proceso: (MP + MdeO + Gtos Fab. + Inv. Inicial Prod. Proceso) / ( 1 + Rot. Prod. Proc.)</t>
  </si>
  <si>
    <t>2.1.5 Productos Terminados: ( Costo de Producción + Inv. Inicial Prod. Term) / ( 1 + Rot. Prod. Term )</t>
  </si>
  <si>
    <t>2.2 Cuantificar las inversiones requeridas en Activos Fijos</t>
  </si>
  <si>
    <t>2.3 Plan de Inversión = Capital de Trabajo Bruto + Activos Fijos</t>
  </si>
  <si>
    <t>3. Estructurar la Financiación del Plan de Inversión</t>
  </si>
  <si>
    <t>3.1 Partiendo del grado de endeudamiento dimensionar el aporte de Capital: Plan de Inversión x ( 1-GE)</t>
  </si>
  <si>
    <t>3.2 Determinar el cupo de crédito con los proveedores: Compras x DPP / 360</t>
  </si>
  <si>
    <t>3.3 Por residuo establecer el faltante y sustentar el crédito con entidad financiera</t>
  </si>
  <si>
    <t>4. A partir de la deuda financiera armar la ruta del servicio de la deuda ( Intereses y Amortización )</t>
  </si>
  <si>
    <t>5. Completar P &amp; G: Gastos financieros, utilidad gravable, impuestos y utilidad neta.</t>
  </si>
  <si>
    <t>6. Elaborar el flujo de caja neto mediante el método Indirecto : Partir de Utilidad Operacional y ajustar</t>
  </si>
  <si>
    <t>con fuentes y usos de fondos: ( Capital, deuda, proveedores..... Plan de Inversión, servicio de la deuda</t>
  </si>
  <si>
    <t>pago de impuestos y reparto de dividendos). El saldo neto de caja acumulado se utiliza para alimentar</t>
  </si>
  <si>
    <t>el saldo en Bancos en la proyección de los Balances. A partir del segundo año las partidas que intervienen</t>
  </si>
  <si>
    <t>tanto en fuentes como en usos referidas a los Balances, son sus variaciones: Proveedores, cartera e inventarios.</t>
  </si>
  <si>
    <t>Los dividendos se repartirán de acuerdo con obtención de utilidad neta positiva y la relación pago.</t>
  </si>
  <si>
    <t>7. Ensamblar los Balances Proyectados alimentando desde P&amp;G y Flujo de Caja de acuerdo al caso.</t>
  </si>
  <si>
    <t>8. Elaborar el flujo de caja libre reproduciendo parcialmente el flujode caja neto, exceptuando los</t>
  </si>
  <si>
    <t>intereses, amortizaciones de pasivos y dividendos. Es necesario tener en cuenta que los flujos de caja</t>
  </si>
  <si>
    <t>del año 1 deben abrirse entre aquellos que ocurren a principios y los que se generan a finales del año.</t>
  </si>
  <si>
    <t>A principios de año ocurren las inversiones y las financiaciones, mientras que la utilidad se causará</t>
  </si>
  <si>
    <t>a final de año, lo que obliga a la identificación de un período CERO para efectos de los cálculos de</t>
  </si>
  <si>
    <t>rendimientos tanto operacionales ( Flujo de caja libre ) y los de los inversionistas.</t>
  </si>
  <si>
    <t>9. Elaboración del flujo de caja de los inversionistas: La inversión inicial corresponde a los aportes de</t>
  </si>
  <si>
    <t>capital y los retornos están dados por los dividendos pagados.</t>
  </si>
  <si>
    <t>10. Determinación de los criterios de decisión de Inversión:</t>
  </si>
  <si>
    <t>10.1 Costo de los pasivos</t>
  </si>
  <si>
    <t>10.1.1 Costos explícitos tal como son los préstamos con entidades financieras: Flujo de Caja del servicio</t>
  </si>
  <si>
    <t>de la deuda despues de impuestos y cálculo de la TIR efectiva Anual; metodología aplicable a los</t>
  </si>
  <si>
    <t>pasivos que tengan costos explícitos: comisiones, gastos, ajuste de cambio, etc.</t>
  </si>
  <si>
    <t>10.1.2 Determinacion de eventuales costos de oportunidad en pasicos diferentes a pasivos financieros</t>
  </si>
  <si>
    <t>y su cuantificación en términos de costo de oportunidad efectivo anual despues de impuestos.</t>
  </si>
  <si>
    <t>10.2 Determinacion del criterio de rendimiento esperado por parte de los inversionistas</t>
  </si>
  <si>
    <t>10.2.1 Asignación subjetiva</t>
  </si>
  <si>
    <t>10.2.2 Metodologías de tipo modelos de crecimiento (Gordon simple crecimiento uniforme)</t>
  </si>
  <si>
    <t>10.2.3 Modelo de asignación de precio a los activos (CAPM Capital Asset Pricing Model)</t>
  </si>
  <si>
    <t>10.3 Cálculo del Costo de Capital Promedio Ponderado WACC (Weighted Average Cost of Capital)</t>
  </si>
  <si>
    <t>10.3.1 Estructurar las financiaciones entre endeudamiento y solvencia ( GE= Pasivos / Activos )</t>
  </si>
  <si>
    <t>10.3.2 Calcular el promedio ponderado tomando como pesos el endeudamiento y los respectivos</t>
  </si>
  <si>
    <t>costo de Pasivos y de Patrimonio. (sugerencia: f x, matemáticas y estadísticas, SUMAPRODUCTO(M1;M2)</t>
  </si>
  <si>
    <t>10.3.3 Identificar el multiplicador que refleje los riesgos de parte de la empresa ( Excepción CAPM )</t>
  </si>
  <si>
    <t>10.4 Construcción de un índice WACC que permita establecer los factores de descuento de pagos únicos.</t>
  </si>
  <si>
    <t>11. Evaluación Financiera:</t>
  </si>
  <si>
    <t>11.1 Cálculo simple de TIR ( =Tir(Rango) ) y VNA con una tasa de WACC constante (=vna(rango;Tasa)+Inv.Inic.</t>
  </si>
  <si>
    <t>11.1.1 Para evaluar el Flujo de Caja Libre se emplea el WACC</t>
  </si>
  <si>
    <t>11.1.2 Para la evaluación del inversionista se emplea k e ( Costo de Capital del Inversionista)</t>
  </si>
  <si>
    <t>11.2 Cálculo de VNA con Tasas WACC diferentes:empleando el índice WACC acumulado para el respectivo</t>
  </si>
  <si>
    <t>11.3 Para calcular el MVA, se determina EVA para cada período a precios corrientes y se deflacta con</t>
  </si>
  <si>
    <t>el índice WACC acumulado. La suma de los EVA´s futuros descontados adicionados a la inversión</t>
  </si>
  <si>
    <t>inicial da lugar al MVA ( Valoración Bruta )</t>
  </si>
  <si>
    <t>12. Valoración con cálculo de valor residual capitalizado</t>
  </si>
  <si>
    <t>12.1 Tomar para el período n + 1, el Flujo de Caja libre del período n</t>
  </si>
  <si>
    <t>12.2 Capitalizarlo a perpetuidad ( Determinar su VNA con n = infinito )</t>
  </si>
  <si>
    <t>12.3 Traerlo a VNA al período 0 (Cero )</t>
  </si>
  <si>
    <t>12.4 Agregar al VNA de los Flujos de Caja Libres</t>
  </si>
  <si>
    <t>12.5 Restar el VNA de los Pasivos de final de año 1 exceptuando los proveedores de la suma anterior.</t>
  </si>
  <si>
    <t>13. EVA:</t>
  </si>
  <si>
    <t>Método 1: EVA = NOPAT - WACC x INVERSIONES</t>
  </si>
  <si>
    <t>Método 2 : EVA = INVERSIONES x ( ROIC - WACC )</t>
  </si>
  <si>
    <t>INVERSIONES: Tener en cuenta las inversiones operacionales exclusivamente y la creación de valor</t>
  </si>
  <si>
    <t>se obtiene con la inversión inicial como base para la determinación de EVA de finales de año.</t>
  </si>
  <si>
    <t>INVERSIONES = CAPITAL ECONÓMICO = CAPITAL =</t>
  </si>
  <si>
    <t>ACTIVOS OERACIONALES MENOS :</t>
  </si>
  <si>
    <t>NIBCL´S = Non Interest bearing Current Liabilities ( Pasivos corrientes sin costo financiero explícito )</t>
  </si>
  <si>
    <t>ROIC= NOPAT / INVERSIONES</t>
  </si>
  <si>
    <t>14. MVA = VALOR DE MERCADO AGREGADO</t>
  </si>
  <si>
    <t>14.1 Calcular el EVA de cada período</t>
  </si>
  <si>
    <t>14.2 Descontar los EVA's futuros con el Índice WACC a Valor Presente Neto</t>
  </si>
  <si>
    <t>14.3 Sumar con el Capital Inici Invertido la suma de VNA EVA's = MVA ( Valor Bruto de la Empresa)</t>
  </si>
  <si>
    <t>14.4 Capitalizar a perpetuidad el VNA de EVA del período n ( Dividir por WACC - g )</t>
  </si>
  <si>
    <t>14.5 Restar de la suma anterior el VNA del Pasivo Financiero del año 1 = Valor Patrimonial</t>
  </si>
  <si>
    <t>15. INDUCTORES PARA CREACION DE VALOR:</t>
  </si>
  <si>
    <t>15.1 Disminuyendo Capital</t>
  </si>
  <si>
    <t>15.1.1 Acelerar cobranza</t>
  </si>
  <si>
    <t>15.1.2 Reducir inversiones en Inventarios y/o Activos fijos</t>
  </si>
  <si>
    <t>15.1.3 Aumentar el DPP con proveedores</t>
  </si>
  <si>
    <t>15.2 Disminuyendo Costo de Capital</t>
  </si>
  <si>
    <t>15.2.1 Renegociar condiciones financieras: tasa, plazos, períodos de gracia</t>
  </si>
  <si>
    <t>15.2.2 Diseñar una estructura financiera óptima Deuda vs Patrimonio</t>
  </si>
  <si>
    <t>15.2.3 Relación pago ( Distribución de dividendos )</t>
  </si>
  <si>
    <t>15.2.4 Readquisición de acciones</t>
  </si>
  <si>
    <t>15.2.5 Minimización de riesgos ( coberturas, enfoques estratégicos)</t>
  </si>
  <si>
    <t>15.3 Aumentando NOPAT</t>
  </si>
  <si>
    <t>15.3.1 Vtas reales mayores</t>
  </si>
  <si>
    <t>15.3.2 Aumento de precios</t>
  </si>
  <si>
    <t>15.3.3 Reducción de costos de fabricación</t>
  </si>
  <si>
    <t>15.3.4 Reducción de gastos operacionales</t>
  </si>
  <si>
    <t>15.3.5 Flexibilización de depreciaciones</t>
  </si>
  <si>
    <t>15.4 Inversiones con ROIC &gt; WACC</t>
  </si>
  <si>
    <r>
      <t xml:space="preserve">de descuento = k </t>
    </r>
    <r>
      <rPr>
        <b/>
        <vertAlign val="subscript"/>
        <sz val="11"/>
        <rFont val="Century Gothic"/>
        <family val="2"/>
      </rPr>
      <t>e</t>
    </r>
  </si>
  <si>
    <t>Grado de Endeudamiento</t>
  </si>
  <si>
    <t>Tasa de Interés Nominal</t>
  </si>
  <si>
    <t>Plazo del Crédito</t>
  </si>
  <si>
    <t>Saldo del Pasivo</t>
  </si>
  <si>
    <t>Amortización</t>
  </si>
  <si>
    <t>Intereses</t>
  </si>
  <si>
    <t>Días Plazo Pago Proveedores</t>
  </si>
  <si>
    <t>Días Plazo Cartera</t>
  </si>
  <si>
    <t>Máximo ciclo de caja financiable</t>
  </si>
  <si>
    <t>Tasa de Impuestos</t>
  </si>
  <si>
    <t>Relación Pago ( % distr. Dividendos)</t>
  </si>
  <si>
    <t>Gastos iniciales del crédito</t>
  </si>
  <si>
    <t>Gradiente de crecimiento del VRC</t>
  </si>
  <si>
    <t>Balance General</t>
  </si>
  <si>
    <t>Activos</t>
  </si>
  <si>
    <t>Caja + Bancos</t>
  </si>
  <si>
    <t>Activos Corrientes</t>
  </si>
  <si>
    <t>Activo Fijo Bruto</t>
  </si>
  <si>
    <t>Depreciación Acumulada</t>
  </si>
  <si>
    <t>Activo Fijo Neto</t>
  </si>
  <si>
    <t>Total Activos</t>
  </si>
  <si>
    <t>Pasivos</t>
  </si>
  <si>
    <t>Obligaciones Financieras</t>
  </si>
  <si>
    <t>Ctas x Pagar Proveedores</t>
  </si>
  <si>
    <t>Impuestos x Pagar</t>
  </si>
  <si>
    <t>Pasivos Corrientes</t>
  </si>
  <si>
    <t>Pas. Fin . Largo Plazo</t>
  </si>
  <si>
    <t>Total Pasivos</t>
  </si>
  <si>
    <t>Patrimonio</t>
  </si>
  <si>
    <t>Capital</t>
  </si>
  <si>
    <t>Reserva Legal</t>
  </si>
  <si>
    <t>Otras Reservas</t>
  </si>
  <si>
    <t>Utilidad del Ejercicio</t>
  </si>
  <si>
    <t>Utilidad Retenida</t>
  </si>
  <si>
    <t>Total Patrimonio</t>
  </si>
  <si>
    <t>Pasivos + Patrimonio</t>
  </si>
  <si>
    <t>Control</t>
  </si>
  <si>
    <t>Reserva Legal del 50%</t>
  </si>
  <si>
    <t>Reserva Legal Ilimitada</t>
  </si>
  <si>
    <t>Predictor de Quiebra de Altman</t>
  </si>
  <si>
    <t>Z= 6.56x1+3.26x2+6.72x3+1.05x4</t>
  </si>
  <si>
    <t>Comentario</t>
  </si>
  <si>
    <t xml:space="preserve">           Z &gt; 2.6 – Zona segura</t>
  </si>
  <si>
    <t xml:space="preserve">1.1&lt; Z &lt; 2.60 - Zona Gris </t>
  </si>
  <si>
    <t xml:space="preserve">           Z &lt; 1.1 -  Zona de peligro</t>
  </si>
  <si>
    <t xml:space="preserve">x1 = Cap Trabajo Neto/Activos </t>
  </si>
  <si>
    <t xml:space="preserve">x3 = Utilidad operacional / Total Activos </t>
  </si>
  <si>
    <t xml:space="preserve">x4 = Patrimonio / Total Pasivos </t>
  </si>
  <si>
    <t>http://www.creditguru.com/CalcAltZ.shtml</t>
  </si>
  <si>
    <t>ALGUNOS INDICADORES REPRESENTATIVOS</t>
  </si>
  <si>
    <t>Margen Bruto</t>
  </si>
  <si>
    <t>Margen Operacional</t>
  </si>
  <si>
    <t>Margen Neto</t>
  </si>
  <si>
    <t>EVA</t>
  </si>
  <si>
    <t>NOPAT</t>
  </si>
  <si>
    <t>WACC</t>
  </si>
  <si>
    <t>INDICE DE COSTO DE CAPITAL</t>
  </si>
  <si>
    <t>ROIC= NOPAT/CAP. INVERTIDO</t>
  </si>
  <si>
    <t>EVA(1)=NOPAT -WACCxCAP. INVERTIDO</t>
  </si>
  <si>
    <t>EVA(2)=CAP. INVERTIDO x ( ROIC-WACC)</t>
  </si>
  <si>
    <t>VNA EVA j desde 1 - n</t>
  </si>
  <si>
    <r>
      <t xml:space="preserve">MVA = </t>
    </r>
    <r>
      <rPr>
        <b/>
        <u/>
        <sz val="12"/>
        <color indexed="12"/>
        <rFont val="Symbol"/>
        <family val="1"/>
        <charset val="2"/>
      </rPr>
      <t>S</t>
    </r>
    <r>
      <rPr>
        <b/>
        <u/>
        <sz val="10"/>
        <color indexed="12"/>
        <rFont val="Arial"/>
        <family val="2"/>
      </rPr>
      <t xml:space="preserve"> VNA EVA j</t>
    </r>
  </si>
  <si>
    <t>Horizonte de Análisis</t>
  </si>
  <si>
    <t>VALOR CORPORATIVO</t>
  </si>
  <si>
    <t>Menos Pasivos Financieros Hoy</t>
  </si>
  <si>
    <t>VALOR PATRIMONIAL</t>
  </si>
  <si>
    <t>DETERMINACIÓN DEL WACC</t>
  </si>
  <si>
    <t>Costo de capital del Patrimonio</t>
  </si>
  <si>
    <t>Prima Riesgo</t>
  </si>
  <si>
    <t>FLUJO DE CAJA LIBRE</t>
  </si>
  <si>
    <t>Utilidad Operacional desp. Imptos</t>
  </si>
  <si>
    <t>TOTAL INGRESOS OPERACIONALES</t>
  </si>
  <si>
    <t>VNA FdeCL</t>
  </si>
  <si>
    <r>
      <t>S</t>
    </r>
    <r>
      <rPr>
        <b/>
        <sz val="10"/>
        <rFont val="Arial"/>
        <family val="2"/>
      </rPr>
      <t xml:space="preserve"> VNA Fde CL</t>
    </r>
  </si>
  <si>
    <t>VALORACIÓN</t>
  </si>
  <si>
    <t>Análisis de Sensibilidad con 1 var. Independiente y n dependientes</t>
  </si>
  <si>
    <t>Ventas la variable independiente comenzando con 0 y aumentos de 100.000</t>
  </si>
  <si>
    <t>Análisis de sensibilidad con 2 variables independientes y 1 variable dependiente</t>
  </si>
  <si>
    <t>Var. Independientes: Ventas y % Costo de Ventas</t>
  </si>
  <si>
    <t>Sensibilidad de la Relación Pago vs Valoración</t>
  </si>
  <si>
    <t>2.1.6 Empresa comercial: Costo de Ventas/Rotación Inventarios</t>
  </si>
  <si>
    <t>Total Egresos</t>
  </si>
  <si>
    <t>Edward Altman</t>
  </si>
  <si>
    <t>Sector Comercial</t>
  </si>
  <si>
    <t>x2 =( Utilidades + reservas)/Activos</t>
  </si>
  <si>
    <t>Peligro de quiebra</t>
  </si>
  <si>
    <t>Situación normal</t>
  </si>
  <si>
    <t>ROI=ROA=Dupont= Utilidad Neta / Activos</t>
  </si>
  <si>
    <t>ROE=Return on Equity= Utilidad Neta / Patrimonio</t>
  </si>
  <si>
    <t>MULTIPLICADOR PATRIMONIAL= Activos / Patrimonio</t>
  </si>
  <si>
    <t>CAPITAL INVERTIDO INICIAL</t>
  </si>
  <si>
    <t>Cálculo el costo de un crédito de cartera ordinaria</t>
  </si>
  <si>
    <t>Items</t>
  </si>
  <si>
    <t>Valores</t>
  </si>
  <si>
    <t>Ant. Imptos</t>
  </si>
  <si>
    <t>Préstamo</t>
  </si>
  <si>
    <t>Tasa Nom.</t>
  </si>
  <si>
    <t>Días</t>
  </si>
  <si>
    <t>Reciprocidad</t>
  </si>
  <si>
    <t>% Colocado con Rend.</t>
  </si>
  <si>
    <t>Tasa de Colocación</t>
  </si>
  <si>
    <t>Gastos Operación</t>
  </si>
  <si>
    <t>Erogaciones</t>
  </si>
  <si>
    <t>Fondos Frescos</t>
  </si>
  <si>
    <t>COSTO EFECTIVO ANUAL</t>
  </si>
  <si>
    <t>Desp. Imptos.</t>
  </si>
  <si>
    <t>Tasa Impuestos</t>
  </si>
  <si>
    <t>Flujo de Caja</t>
  </si>
  <si>
    <t>n</t>
  </si>
  <si>
    <t>Saldo</t>
  </si>
  <si>
    <t>Abonos</t>
  </si>
  <si>
    <t>Rendmtos</t>
  </si>
  <si>
    <t>Gastos</t>
  </si>
  <si>
    <t>F de C desp. Imptos</t>
  </si>
  <si>
    <t>TIR</t>
  </si>
  <si>
    <t>Costo de cada fuente</t>
  </si>
  <si>
    <t>COSTO DEL CRÉDITO A LARGO PLAZO</t>
  </si>
  <si>
    <t>Ingreso Préstamo</t>
  </si>
  <si>
    <t>Intereses desp. Imptos</t>
  </si>
  <si>
    <t>FLUJO DE CAJA OB. F.</t>
  </si>
  <si>
    <t>Descuento por pronto pago</t>
  </si>
  <si>
    <t>Vigencia del descuento</t>
  </si>
  <si>
    <t>CÁLCULO DEL COSTO DEL NO APROVECHAMIENTO DEL DESCTO x PRONTO PAGO</t>
  </si>
  <si>
    <t>Descuento</t>
  </si>
  <si>
    <t>Vigencia</t>
  </si>
  <si>
    <t>Plazo de Pago</t>
  </si>
  <si>
    <t>Rotación de inventarios</t>
  </si>
  <si>
    <t>Costo Efectivo</t>
  </si>
  <si>
    <t>Costo del crédito</t>
  </si>
  <si>
    <t>Recomendación:</t>
  </si>
  <si>
    <r>
      <t>Costo de capital del Pasivo = K</t>
    </r>
    <r>
      <rPr>
        <b/>
        <vertAlign val="subscript"/>
        <sz val="11"/>
        <rFont val="Arial"/>
        <family val="2"/>
      </rPr>
      <t>i</t>
    </r>
  </si>
  <si>
    <t>Subjetivo</t>
  </si>
  <si>
    <t>Gordon K</t>
  </si>
  <si>
    <t>CAPM</t>
  </si>
  <si>
    <r>
      <t xml:space="preserve">CAPM </t>
    </r>
    <r>
      <rPr>
        <vertAlign val="subscript"/>
        <sz val="12"/>
        <rFont val="Arial"/>
        <family val="2"/>
      </rPr>
      <t>L</t>
    </r>
  </si>
  <si>
    <t>CAPM Benninga Sarig</t>
  </si>
  <si>
    <r>
      <t xml:space="preserve">CAPM </t>
    </r>
    <r>
      <rPr>
        <vertAlign val="subscript"/>
        <sz val="12"/>
        <rFont val="Arial"/>
        <family val="2"/>
      </rPr>
      <t xml:space="preserve">L </t>
    </r>
    <r>
      <rPr>
        <sz val="10"/>
        <rFont val="Arial"/>
      </rPr>
      <t>Benninga Sarig</t>
    </r>
  </si>
  <si>
    <t>Beta Cualitativo</t>
  </si>
  <si>
    <t>D</t>
  </si>
  <si>
    <t>P</t>
  </si>
  <si>
    <t>Cálculo de g :</t>
  </si>
  <si>
    <t>1. Opción:</t>
  </si>
  <si>
    <t>Calcular la tasa de descuento que hace equivalente un dividendo histórico con un</t>
  </si>
  <si>
    <t>Años</t>
  </si>
  <si>
    <t>Dividendo actual</t>
  </si>
  <si>
    <t>Dividendo histórico</t>
  </si>
  <si>
    <t>Gradiente Crecimiento = g</t>
  </si>
  <si>
    <r>
      <t>D</t>
    </r>
    <r>
      <rPr>
        <vertAlign val="subscript"/>
        <sz val="10"/>
        <rFont val="Arial"/>
        <family val="2"/>
      </rPr>
      <t xml:space="preserve"> 0</t>
    </r>
  </si>
  <si>
    <t>Matrícula hoy</t>
  </si>
  <si>
    <t>Años futuros</t>
  </si>
  <si>
    <t>Matrícula Futura</t>
  </si>
  <si>
    <t>Tasa interés</t>
  </si>
  <si>
    <t xml:space="preserve">2. Opción : Calcular con tendencia la línea recta, y tomar los datos históricos y </t>
  </si>
  <si>
    <t>actuales, con base en los " estimados".</t>
  </si>
  <si>
    <t>Estimados</t>
  </si>
  <si>
    <t>g ========= &gt;</t>
  </si>
  <si>
    <t>Gradiente Simple</t>
  </si>
  <si>
    <t>Gradiente Estimado</t>
  </si>
  <si>
    <t>CAPM= Capital Asset Pricing Model= Modelo de asignación de precio al Activo</t>
  </si>
  <si>
    <t>www.damodaran.com</t>
  </si>
  <si>
    <t>DAMODARAN</t>
  </si>
  <si>
    <r>
      <t xml:space="preserve">Modelo de Gordon = K </t>
    </r>
    <r>
      <rPr>
        <vertAlign val="subscript"/>
        <sz val="12"/>
        <rFont val="Arial"/>
        <family val="2"/>
      </rPr>
      <t>e</t>
    </r>
    <r>
      <rPr>
        <sz val="10"/>
        <rFont val="Arial"/>
      </rPr>
      <t xml:space="preserve"> = D </t>
    </r>
    <r>
      <rPr>
        <vertAlign val="subscript"/>
        <sz val="10"/>
        <rFont val="Arial"/>
        <family val="2"/>
      </rPr>
      <t>o</t>
    </r>
    <r>
      <rPr>
        <sz val="10"/>
        <rFont val="Arial"/>
      </rPr>
      <t xml:space="preserve"> </t>
    </r>
    <r>
      <rPr>
        <sz val="6"/>
        <rFont val="Arial"/>
        <family val="2"/>
      </rPr>
      <t>x</t>
    </r>
    <r>
      <rPr>
        <sz val="10"/>
        <rFont val="Arial"/>
      </rPr>
      <t xml:space="preserve"> ( 1 + </t>
    </r>
    <r>
      <rPr>
        <sz val="12"/>
        <rFont val="Symbol"/>
        <family val="1"/>
        <charset val="2"/>
      </rPr>
      <t>D</t>
    </r>
    <r>
      <rPr>
        <sz val="10"/>
        <rFont val="Arial"/>
      </rPr>
      <t xml:space="preserve"> )/ P + g</t>
    </r>
  </si>
  <si>
    <t>nO.</t>
  </si>
  <si>
    <t>Industry</t>
  </si>
  <si>
    <t>Number of firms</t>
  </si>
  <si>
    <t>Beta</t>
  </si>
  <si>
    <t>D/E Ratio</t>
  </si>
  <si>
    <t>Tax rate</t>
  </si>
  <si>
    <t>Unlevered Beta</t>
  </si>
  <si>
    <t xml:space="preserve">Cash/Firm Value </t>
  </si>
  <si>
    <t>Unlevered Beta corrected for cash</t>
  </si>
  <si>
    <t>Advanced Materials/Prd</t>
  </si>
  <si>
    <t>Advertising Agencies</t>
  </si>
  <si>
    <t>Advertising Sales</t>
  </si>
  <si>
    <t>Advertising Services</t>
  </si>
  <si>
    <t>Aerospace/Defense</t>
  </si>
  <si>
    <t>Aerospace/Defense-Equip</t>
  </si>
  <si>
    <t>Agricultural Biotech</t>
  </si>
  <si>
    <t>Agricultural Chemicals</t>
  </si>
  <si>
    <t>Agricultural Operations</t>
  </si>
  <si>
    <t>Air Pollution Control Eq</t>
  </si>
  <si>
    <t>Airlines</t>
  </si>
  <si>
    <t>Airport Develop/Maint</t>
  </si>
  <si>
    <t>Apparel Manufacturers</t>
  </si>
  <si>
    <t>Appliances</t>
  </si>
  <si>
    <t>Applications Software</t>
  </si>
  <si>
    <t>Athletic Equipment</t>
  </si>
  <si>
    <t>NA</t>
  </si>
  <si>
    <t>Athletic Footwear</t>
  </si>
  <si>
    <t>Audio/Video Products</t>
  </si>
  <si>
    <t>Auto Repair Centers</t>
  </si>
  <si>
    <t>Auto/Trk Prts&amp;Equip-Orig</t>
  </si>
  <si>
    <t>Auto/Trk Prts&amp;Equip-Repl</t>
  </si>
  <si>
    <t>Auto-Cars/Light Trucks</t>
  </si>
  <si>
    <t>Auto-Med&amp;Heavy Duty Trks</t>
  </si>
  <si>
    <t>Batteries/Battery Sys</t>
  </si>
  <si>
    <t>Beverages-Non-alcoholic</t>
  </si>
  <si>
    <t>Beverages-Wine/Spirits</t>
  </si>
  <si>
    <t>Bicycle Manufacturing</t>
  </si>
  <si>
    <t>Bldg Prod-Air&amp;Heating</t>
  </si>
  <si>
    <t>Bldg Prod-Cement/Aggreg</t>
  </si>
  <si>
    <t>Bldg Prod-Doors&amp;Windows</t>
  </si>
  <si>
    <t>Bldg Prod-Wood</t>
  </si>
  <si>
    <t>Bldg&amp;Construct Prod-Misc</t>
  </si>
  <si>
    <t>Bldg-Residential/Commer</t>
  </si>
  <si>
    <t>Brewery</t>
  </si>
  <si>
    <t>Broadcast Serv/Program</t>
  </si>
  <si>
    <t>Building&amp;Construct-Misc</t>
  </si>
  <si>
    <t>Building-Heavy Construct</t>
  </si>
  <si>
    <t>Building-Maint&amp;Service</t>
  </si>
  <si>
    <t>Cable TV</t>
  </si>
  <si>
    <t>Capacitors</t>
  </si>
  <si>
    <t>Casino Hotels</t>
  </si>
  <si>
    <t>Casino Services</t>
  </si>
  <si>
    <t>Cellular Telecom</t>
  </si>
  <si>
    <t>Ceramic Products</t>
  </si>
  <si>
    <t>Chemicals-Diversified</t>
  </si>
  <si>
    <t>Chemicals-Fibers</t>
  </si>
  <si>
    <t>Chemicals-Other</t>
  </si>
  <si>
    <t>Chemicals-Plastics</t>
  </si>
  <si>
    <t>Chemicals-Specialty</t>
  </si>
  <si>
    <t>Circuit Boards</t>
  </si>
  <si>
    <t>Coal</t>
  </si>
  <si>
    <t>Coatings/Paint</t>
  </si>
  <si>
    <t>Coffee</t>
  </si>
  <si>
    <t>Collectibles</t>
  </si>
  <si>
    <t>Commer Banks Non-US</t>
  </si>
  <si>
    <t>Commercial Serv-Finance</t>
  </si>
  <si>
    <t>Commercial Services</t>
  </si>
  <si>
    <t>Communications Software</t>
  </si>
  <si>
    <t>Computer Aided Design</t>
  </si>
  <si>
    <t>Computer Services</t>
  </si>
  <si>
    <t>Computer Software</t>
  </si>
  <si>
    <t>Computers</t>
  </si>
  <si>
    <t>Computers-Integrated Sys</t>
  </si>
  <si>
    <t>Computers-Memory Devices</t>
  </si>
  <si>
    <t>Computers-Other</t>
  </si>
  <si>
    <t>Computers-Peripher Equip</t>
  </si>
  <si>
    <t>Consulting Services</t>
  </si>
  <si>
    <t>Consumer Products-Misc</t>
  </si>
  <si>
    <t>Containers-Metal/Glass</t>
  </si>
  <si>
    <t>Containers-Paper/Plastic</t>
  </si>
  <si>
    <t>Cosmetics&amp;Toiletries</t>
  </si>
  <si>
    <t>Cruise Lines</t>
  </si>
  <si>
    <t>Crystal&amp;Giftware</t>
  </si>
  <si>
    <t>Data Processing/Mgmt</t>
  </si>
  <si>
    <t>Decision Support Softwar</t>
  </si>
  <si>
    <t>Diagnostic Equipment</t>
  </si>
  <si>
    <t>Diamonds/Precious Stones</t>
  </si>
  <si>
    <t>Distribution/Wholesale</t>
  </si>
  <si>
    <t>Divers Oper/Commer Serv</t>
  </si>
  <si>
    <t>Diversified Finan Serv</t>
  </si>
  <si>
    <t>Diversified Manufact Op</t>
  </si>
  <si>
    <t>Diversified Minerals</t>
  </si>
  <si>
    <t>Diversified Operations</t>
  </si>
  <si>
    <t>Drug Delivery Systems</t>
  </si>
  <si>
    <t>E-Commerce/Products</t>
  </si>
  <si>
    <t>E-Commerce/Services</t>
  </si>
  <si>
    <t>Educational Software</t>
  </si>
  <si>
    <t>Electric Products-Misc</t>
  </si>
  <si>
    <t>Electric-Distribution</t>
  </si>
  <si>
    <t>Electric-Generation</t>
  </si>
  <si>
    <t>Electric-Integrated</t>
  </si>
  <si>
    <t>Electric-Transmission</t>
  </si>
  <si>
    <t>Electronic Compo-Misc</t>
  </si>
  <si>
    <t>Electronic Compo-Semicon</t>
  </si>
  <si>
    <t>Electronic Connectors</t>
  </si>
  <si>
    <t>Electronic Design Automa</t>
  </si>
  <si>
    <t>Electronic Measur Instr</t>
  </si>
  <si>
    <t>Electronic Parts Distrib</t>
  </si>
  <si>
    <t>Electronic Secur Devices</t>
  </si>
  <si>
    <t>Electronics-Military</t>
  </si>
  <si>
    <t>Energy-Alternate Sources</t>
  </si>
  <si>
    <t>Engineering/R&amp;D Services</t>
  </si>
  <si>
    <t>Engines-Internal Combust</t>
  </si>
  <si>
    <t>Enterprise Software/Serv</t>
  </si>
  <si>
    <t>Entertainment Software</t>
  </si>
  <si>
    <t>Environ Consulting&amp;Eng</t>
  </si>
  <si>
    <t>E-Services/Consulting</t>
  </si>
  <si>
    <t>Explosives</t>
  </si>
  <si>
    <t>Extended Serv Contracts</t>
  </si>
  <si>
    <t>Feminine Health Care Prd</t>
  </si>
  <si>
    <t>Finance-Auto Loans</t>
  </si>
  <si>
    <t>Finance-Commercial</t>
  </si>
  <si>
    <t>Finance-Consumer Loans</t>
  </si>
  <si>
    <t>Finance-Credit Card</t>
  </si>
  <si>
    <t>Finance-Invest Bnkr/Brkr</t>
  </si>
  <si>
    <t>Finance-Leasing Compan</t>
  </si>
  <si>
    <t>Finance-Mtge Loan/Banker</t>
  </si>
  <si>
    <t>Finance-Other Services</t>
  </si>
  <si>
    <t>Firearms&amp;Ammunition</t>
  </si>
  <si>
    <t>Fisheries</t>
  </si>
  <si>
    <t>Food-Baking</t>
  </si>
  <si>
    <t>Food-Canned</t>
  </si>
  <si>
    <t>Food-Catering</t>
  </si>
  <si>
    <t>Food-Confectionery</t>
  </si>
  <si>
    <t>Food-Dairy Products</t>
  </si>
  <si>
    <t>Food-Flour&amp;Grain</t>
  </si>
  <si>
    <t>Food-Meat Products</t>
  </si>
  <si>
    <t>Food-Misc/Diversified</t>
  </si>
  <si>
    <t>Food-Retail</t>
  </si>
  <si>
    <t>Food-Wholesale/Distrib</t>
  </si>
  <si>
    <t>Footwear&amp;Related Apparel</t>
  </si>
  <si>
    <t>Forestry</t>
  </si>
  <si>
    <t>Funeral Serv&amp;Rel Items</t>
  </si>
  <si>
    <t>Gambling (Non-Hotel)</t>
  </si>
  <si>
    <t>Gas-Distribution</t>
  </si>
  <si>
    <t>Gold Mining</t>
  </si>
  <si>
    <t>Golf</t>
  </si>
  <si>
    <t>Hazardous Waste Disposal</t>
  </si>
  <si>
    <t>Healthcare Safety Device</t>
  </si>
  <si>
    <t>Home Furnishings</t>
  </si>
  <si>
    <t>Hospital Beds/Equipment</t>
  </si>
  <si>
    <t>Hotels&amp;Motels</t>
  </si>
  <si>
    <t>Housewares</t>
  </si>
  <si>
    <t>Identification Sys/Dev</t>
  </si>
  <si>
    <t>Import/Export</t>
  </si>
  <si>
    <t>Inactive/Unknown</t>
  </si>
  <si>
    <t>Independ Power Producer</t>
  </si>
  <si>
    <t>Industr Audio&amp;Video Prod</t>
  </si>
  <si>
    <t>Industrial Automat/Robot</t>
  </si>
  <si>
    <t>Industrial Gases</t>
  </si>
  <si>
    <t>Instruments-Controls</t>
  </si>
  <si>
    <t>Insurance Brokers</t>
  </si>
  <si>
    <t>Interior Design/Architec</t>
  </si>
  <si>
    <t>Internet Applic Sftwr</t>
  </si>
  <si>
    <t>Internet Connectiv Svcs</t>
  </si>
  <si>
    <t>Internet Content-Entmnt</t>
  </si>
  <si>
    <t>Internet Content-Info/Ne</t>
  </si>
  <si>
    <t>Internet Incubators</t>
  </si>
  <si>
    <t>Internet Infrastr Sftwr</t>
  </si>
  <si>
    <t>Internet Security</t>
  </si>
  <si>
    <t>Internet Telephony</t>
  </si>
  <si>
    <t>Intimate Apparel</t>
  </si>
  <si>
    <t>Invest Mgmnt/Advis Serv</t>
  </si>
  <si>
    <t>Investment Companies</t>
  </si>
  <si>
    <t>Lasers-Syst/Components</t>
  </si>
  <si>
    <t>Life/Health Insurance</t>
  </si>
  <si>
    <t>Lighting Products&amp;Sys</t>
  </si>
  <si>
    <t>Linen Supply&amp;Rel Items</t>
  </si>
  <si>
    <t>Lottery Services</t>
  </si>
  <si>
    <t>Mach Tools&amp;Rel Products</t>
  </si>
  <si>
    <t>Machinery-Constr&amp;Mining</t>
  </si>
  <si>
    <t>Machinery-Electric Util</t>
  </si>
  <si>
    <t>Machinery-Electrical</t>
  </si>
  <si>
    <t>Machinery-Farm</t>
  </si>
  <si>
    <t>Machinery-General Indust</t>
  </si>
  <si>
    <t>Machinery-Material Handl</t>
  </si>
  <si>
    <t>Machinery-Print Trade</t>
  </si>
  <si>
    <t>Machinery-Pumps</t>
  </si>
  <si>
    <t>Machinery-Therml Process</t>
  </si>
  <si>
    <t>Marine Services</t>
  </si>
  <si>
    <t>Medical Instruments</t>
  </si>
  <si>
    <t>Medical Products</t>
  </si>
  <si>
    <t>Medical Steriliz Product</t>
  </si>
  <si>
    <t>Medical-Biomedical/Gene</t>
  </si>
  <si>
    <t>Medical-Drugs</t>
  </si>
  <si>
    <t>Medical-Generic Drugs</t>
  </si>
  <si>
    <t>Medical-Hospitals</t>
  </si>
  <si>
    <t>Medical-Outptnt/Home Med</t>
  </si>
  <si>
    <t>Medical-Whsle Drug Dist</t>
  </si>
  <si>
    <t>Metal Processors&amp;Fabrica</t>
  </si>
  <si>
    <t>Metal Products-Fasteners</t>
  </si>
  <si>
    <t>Metal-Aluminum</t>
  </si>
  <si>
    <t>Metal-Copper</t>
  </si>
  <si>
    <t>Metal-Diversified</t>
  </si>
  <si>
    <t>Metal-Iron</t>
  </si>
  <si>
    <t>Mining Services</t>
  </si>
  <si>
    <t>Miscellaneous Manufactur</t>
  </si>
  <si>
    <t>Money Center Banks</t>
  </si>
  <si>
    <t>Mortgage Banks</t>
  </si>
  <si>
    <t>Motion Pictures&amp;Services</t>
  </si>
  <si>
    <t>Motorcycle/Motor Scooter</t>
  </si>
  <si>
    <t>Multilevel Dir Selling</t>
  </si>
  <si>
    <t>Multi-line Insurance</t>
  </si>
  <si>
    <t>Multimedia</t>
  </si>
  <si>
    <t>Music</t>
  </si>
  <si>
    <t>Networking Products</t>
  </si>
  <si>
    <t>Non-Ferrous Metals</t>
  </si>
  <si>
    <t>Non-hazardous Waste Disp</t>
  </si>
  <si>
    <t>Office Automation&amp;Equip</t>
  </si>
  <si>
    <t>Office Furnishings-Orig</t>
  </si>
  <si>
    <t>Office Supplies&amp;Forms</t>
  </si>
  <si>
    <t>Oil Comp-Explor&amp;Prodtn</t>
  </si>
  <si>
    <t>Oil Comp-Integrated</t>
  </si>
  <si>
    <t>Oil Field Mach&amp;Equip</t>
  </si>
  <si>
    <t>Oil Refining&amp;Marketing</t>
  </si>
  <si>
    <t>Oil&amp;Gas Drilling</t>
  </si>
  <si>
    <t>Oil-Field Services</t>
  </si>
  <si>
    <t>Optical Supplies</t>
  </si>
  <si>
    <t>Paper&amp;Related Products</t>
  </si>
  <si>
    <t>Pastoral&amp;Agricultural</t>
  </si>
  <si>
    <t>Petrochemicals</t>
  </si>
  <si>
    <t>Photo Equipment&amp;Supplies</t>
  </si>
  <si>
    <t>Pipelines</t>
  </si>
  <si>
    <t>Platinum</t>
  </si>
  <si>
    <t>Pollution Control</t>
  </si>
  <si>
    <t>Poultry</t>
  </si>
  <si>
    <t>Power Conv/Supply Equip</t>
  </si>
  <si>
    <t>Precious Metals</t>
  </si>
  <si>
    <t>Printing-Commercial</t>
  </si>
  <si>
    <t>Professional Sports</t>
  </si>
  <si>
    <t>Property Trust</t>
  </si>
  <si>
    <t>Property/Casualty Ins</t>
  </si>
  <si>
    <t>Public Thoroughfares</t>
  </si>
  <si>
    <t>Publishing-Books</t>
  </si>
  <si>
    <t>Publishing-Newspapers</t>
  </si>
  <si>
    <t>Publishing-Periodicals</t>
  </si>
  <si>
    <t>Radio</t>
  </si>
  <si>
    <t>Real Estate Mgmnt/Servic</t>
  </si>
  <si>
    <t>Real Estate Oper/Develop</t>
  </si>
  <si>
    <t>Recreational Centers</t>
  </si>
  <si>
    <t>Recycling</t>
  </si>
  <si>
    <t>Regional Banks-Non US</t>
  </si>
  <si>
    <t>Reinsurance</t>
  </si>
  <si>
    <t>Rental Auto/Equipment</t>
  </si>
  <si>
    <t>Resorts/Theme Parks</t>
  </si>
  <si>
    <t>Retail-Apparel/Shoe</t>
  </si>
  <si>
    <t>Retail-Appliances</t>
  </si>
  <si>
    <t>Retail-Auto Parts</t>
  </si>
  <si>
    <t>Retail-Automobile</t>
  </si>
  <si>
    <t>Retail-Building Products</t>
  </si>
  <si>
    <t>Retail-Computer Equip</t>
  </si>
  <si>
    <t>Retail-Consumer Electron</t>
  </si>
  <si>
    <t>Retail-Convenience Store</t>
  </si>
  <si>
    <t>Retail-Discount</t>
  </si>
  <si>
    <t>Retail-Drug Store</t>
  </si>
  <si>
    <t>Retail-Home Furnishings</t>
  </si>
  <si>
    <t>Retail-Hypermarkets</t>
  </si>
  <si>
    <t>Retail-Jewelry</t>
  </si>
  <si>
    <t>Retail-Major Dept Store</t>
  </si>
  <si>
    <t>Retail-Misc/Diversified</t>
  </si>
  <si>
    <t>Retail-Perfume&amp;Cosmetics</t>
  </si>
  <si>
    <t>Retail-Petroleum Prod</t>
  </si>
  <si>
    <t>Retail-Regnl Dept Store</t>
  </si>
  <si>
    <t>Retail-Restaurants</t>
  </si>
  <si>
    <t>Retail-Sporting Goods</t>
  </si>
  <si>
    <t>Rubber&amp;Vinyl</t>
  </si>
  <si>
    <t>Rubber/Plastic Products</t>
  </si>
  <si>
    <t>Rubber-Tires</t>
  </si>
  <si>
    <t>Satellite Telecom</t>
  </si>
  <si>
    <t>Schools</t>
  </si>
  <si>
    <t>Security Services</t>
  </si>
  <si>
    <t>Semicon Compo-Intg Circu</t>
  </si>
  <si>
    <t>Semiconductor Equipment</t>
  </si>
  <si>
    <t>Shipbuilding</t>
  </si>
  <si>
    <t>Silver Mining</t>
  </si>
  <si>
    <t>Soap&amp;Cleaning Prepar</t>
  </si>
  <si>
    <t>Special Purpose Banks</t>
  </si>
  <si>
    <t>Specified Purpose Acquis</t>
  </si>
  <si>
    <t>Steel Pipe&amp;Tube</t>
  </si>
  <si>
    <t>Steel-Producers</t>
  </si>
  <si>
    <t>Steel-Specialty</t>
  </si>
  <si>
    <t>Storage/Warehousing</t>
  </si>
  <si>
    <t>Sugar</t>
  </si>
  <si>
    <t>Superconductor Prod&amp;Sys</t>
  </si>
  <si>
    <t>Tea</t>
  </si>
  <si>
    <t>Telecom Eq Fiber Optics</t>
  </si>
  <si>
    <t>Telecom Services</t>
  </si>
  <si>
    <t>Telecommunication Equip</t>
  </si>
  <si>
    <t>Telephone-Integrated</t>
  </si>
  <si>
    <t>Television</t>
  </si>
  <si>
    <t>Textile-Apparel</t>
  </si>
  <si>
    <t>Textile-Home Furnishings</t>
  </si>
  <si>
    <t>Textile-Products</t>
  </si>
  <si>
    <t>Theaters</t>
  </si>
  <si>
    <t>Therapeutics</t>
  </si>
  <si>
    <t>Tobacco</t>
  </si>
  <si>
    <t>Tools-Hand Held</t>
  </si>
  <si>
    <t>Toys</t>
  </si>
  <si>
    <t>Transactional Software</t>
  </si>
  <si>
    <t>Transport-Air Freight</t>
  </si>
  <si>
    <t>Transport-Equip&amp;Leasng</t>
  </si>
  <si>
    <t>Transport-Marine</t>
  </si>
  <si>
    <t>Transport-Rail</t>
  </si>
  <si>
    <t>Transport-Services</t>
  </si>
  <si>
    <t>Transport-Truck</t>
  </si>
  <si>
    <t>Travel Services</t>
  </si>
  <si>
    <t>Venture Capital</t>
  </si>
  <si>
    <t>Veterinary Diagnostics</t>
  </si>
  <si>
    <t>Vitamins&amp;Nutrition Prod</t>
  </si>
  <si>
    <t>Water</t>
  </si>
  <si>
    <t>Water Treatment Systems</t>
  </si>
  <si>
    <t>Web Portals/ISP</t>
  </si>
  <si>
    <t>Whsing&amp;Harbor Trans Serv</t>
  </si>
  <si>
    <t>Wire&amp;Cable Products</t>
  </si>
  <si>
    <t>Wireless Equipment</t>
  </si>
  <si>
    <t>Wool</t>
  </si>
  <si>
    <t>X-Ray Equipment</t>
  </si>
  <si>
    <t>Bajo</t>
  </si>
  <si>
    <t>Promedio</t>
  </si>
  <si>
    <t>Notable</t>
  </si>
  <si>
    <t>Muy alto</t>
  </si>
  <si>
    <t>Riesgo</t>
  </si>
  <si>
    <t>Peso</t>
  </si>
  <si>
    <t>FACTORES DE RIESGO A CONSIDERAR</t>
  </si>
  <si>
    <t>Ponderado</t>
  </si>
  <si>
    <t>N</t>
  </si>
  <si>
    <t>Negocio:sector</t>
  </si>
  <si>
    <t>a</t>
  </si>
  <si>
    <t>O</t>
  </si>
  <si>
    <t>Apalancamiento Operativo</t>
  </si>
  <si>
    <t>Directivos</t>
  </si>
  <si>
    <t>E</t>
  </si>
  <si>
    <t>Exposición a otros riesgos (divisas)</t>
  </si>
  <si>
    <t>R</t>
  </si>
  <si>
    <t>Riesgo País</t>
  </si>
  <si>
    <t>F</t>
  </si>
  <si>
    <t>Flujos de caja: Estabilidad</t>
  </si>
  <si>
    <t>Endeudamiento asignado</t>
  </si>
  <si>
    <t>L</t>
  </si>
  <si>
    <t>Liquidez de la inversión</t>
  </si>
  <si>
    <t>A</t>
  </si>
  <si>
    <t>Acceso a fuentes de fondos</t>
  </si>
  <si>
    <t>S</t>
  </si>
  <si>
    <t>Socios</t>
  </si>
  <si>
    <t>Estrategia</t>
  </si>
  <si>
    <t>Beta del patrimonio =</t>
  </si>
  <si>
    <t>=</t>
  </si>
  <si>
    <t>Sheet Index:</t>
  </si>
  <si>
    <t>Conceptos</t>
  </si>
  <si>
    <t>Pasos</t>
  </si>
  <si>
    <t>Modelo</t>
  </si>
  <si>
    <t>Cto Crédito</t>
  </si>
  <si>
    <t>Cto Proveedores</t>
  </si>
  <si>
    <t>Cto Patrimonio</t>
  </si>
  <si>
    <t>Emergentes</t>
  </si>
  <si>
    <t>NODERFELASE</t>
  </si>
  <si>
    <r>
      <t xml:space="preserve">K </t>
    </r>
    <r>
      <rPr>
        <vertAlign val="subscript"/>
        <sz val="11"/>
        <rFont val="Arial"/>
        <family val="2"/>
      </rPr>
      <t>e</t>
    </r>
    <r>
      <rPr>
        <sz val="10"/>
        <rFont val="Arial"/>
      </rPr>
      <t xml:space="preserve"> = K </t>
    </r>
    <r>
      <rPr>
        <vertAlign val="subscript"/>
        <sz val="10"/>
        <rFont val="Arial"/>
        <family val="2"/>
      </rPr>
      <t>rf</t>
    </r>
    <r>
      <rPr>
        <sz val="10"/>
        <rFont val="Arial"/>
      </rPr>
      <t xml:space="preserve"> + (K </t>
    </r>
    <r>
      <rPr>
        <vertAlign val="subscript"/>
        <sz val="10"/>
        <rFont val="Arial"/>
        <family val="2"/>
      </rPr>
      <t>m</t>
    </r>
    <r>
      <rPr>
        <sz val="10"/>
        <rFont val="Arial"/>
      </rPr>
      <t xml:space="preserve"> - K </t>
    </r>
    <r>
      <rPr>
        <vertAlign val="subscript"/>
        <sz val="10"/>
        <rFont val="Arial"/>
        <family val="2"/>
      </rPr>
      <t>rf</t>
    </r>
    <r>
      <rPr>
        <sz val="10"/>
        <rFont val="Arial"/>
      </rPr>
      <t xml:space="preserve">) x </t>
    </r>
    <r>
      <rPr>
        <sz val="12"/>
        <rFont val="Symbol"/>
        <family val="1"/>
        <charset val="2"/>
      </rPr>
      <t>b</t>
    </r>
  </si>
  <si>
    <t>ß</t>
  </si>
  <si>
    <r>
      <t xml:space="preserve">K </t>
    </r>
    <r>
      <rPr>
        <vertAlign val="subscript"/>
        <sz val="10"/>
        <rFont val="Arial"/>
        <family val="2"/>
      </rPr>
      <t>rf</t>
    </r>
    <r>
      <rPr>
        <sz val="10"/>
        <rFont val="Arial"/>
      </rPr>
      <t xml:space="preserve"> </t>
    </r>
  </si>
  <si>
    <r>
      <t xml:space="preserve">K </t>
    </r>
    <r>
      <rPr>
        <vertAlign val="subscript"/>
        <sz val="10"/>
        <rFont val="Arial"/>
        <family val="2"/>
      </rPr>
      <t>m</t>
    </r>
  </si>
  <si>
    <r>
      <t xml:space="preserve">CAPM </t>
    </r>
    <r>
      <rPr>
        <vertAlign val="subscript"/>
        <sz val="11"/>
        <rFont val="Arial"/>
        <family val="2"/>
      </rPr>
      <t xml:space="preserve">L </t>
    </r>
    <r>
      <rPr>
        <sz val="10"/>
        <rFont val="Arial"/>
      </rPr>
      <t>= Capital Asset Pricing Model= Modelo de asignación de precio al Activo Apalancado</t>
    </r>
  </si>
  <si>
    <t>Multiplicador del Apalancamiento</t>
  </si>
  <si>
    <t>Pasivo Financiero</t>
  </si>
  <si>
    <r>
      <t xml:space="preserve">Beta Apalancado = </t>
    </r>
    <r>
      <rPr>
        <sz val="12"/>
        <rFont val="Symbol"/>
        <family val="1"/>
        <charset val="2"/>
      </rPr>
      <t>b</t>
    </r>
    <r>
      <rPr>
        <sz val="10"/>
        <rFont val="Arial"/>
      </rPr>
      <t xml:space="preserve"> </t>
    </r>
    <r>
      <rPr>
        <vertAlign val="subscript"/>
        <sz val="11"/>
        <rFont val="Arial"/>
        <family val="2"/>
      </rPr>
      <t>L</t>
    </r>
  </si>
  <si>
    <r>
      <t xml:space="preserve">K </t>
    </r>
    <r>
      <rPr>
        <vertAlign val="subscript"/>
        <sz val="11"/>
        <rFont val="Arial"/>
        <family val="2"/>
      </rPr>
      <t>e</t>
    </r>
    <r>
      <rPr>
        <sz val="10"/>
        <rFont val="Arial"/>
      </rPr>
      <t xml:space="preserve"> = K </t>
    </r>
    <r>
      <rPr>
        <vertAlign val="subscript"/>
        <sz val="10"/>
        <rFont val="Arial"/>
        <family val="2"/>
      </rPr>
      <t>rf</t>
    </r>
    <r>
      <rPr>
        <sz val="10"/>
        <rFont val="Arial"/>
      </rPr>
      <t xml:space="preserve"> + (K </t>
    </r>
    <r>
      <rPr>
        <vertAlign val="subscript"/>
        <sz val="10"/>
        <rFont val="Arial"/>
        <family val="2"/>
      </rPr>
      <t>m</t>
    </r>
    <r>
      <rPr>
        <sz val="10"/>
        <rFont val="Arial"/>
      </rPr>
      <t xml:space="preserve"> - K </t>
    </r>
    <r>
      <rPr>
        <vertAlign val="subscript"/>
        <sz val="10"/>
        <rFont val="Arial"/>
        <family val="2"/>
      </rPr>
      <t>rf</t>
    </r>
    <r>
      <rPr>
        <sz val="10"/>
        <rFont val="Arial"/>
      </rPr>
      <t xml:space="preserve">) x </t>
    </r>
    <r>
      <rPr>
        <sz val="12"/>
        <rFont val="Symbol"/>
        <family val="1"/>
        <charset val="2"/>
      </rPr>
      <t>b</t>
    </r>
    <r>
      <rPr>
        <b/>
        <vertAlign val="subscript"/>
        <sz val="12"/>
        <rFont val="Arial"/>
        <family val="2"/>
      </rPr>
      <t>L</t>
    </r>
  </si>
  <si>
    <t>CAPM (Benninga- Sarig)</t>
  </si>
  <si>
    <r>
      <t xml:space="preserve">CAPM </t>
    </r>
    <r>
      <rPr>
        <vertAlign val="subscript"/>
        <sz val="11"/>
        <rFont val="Arial"/>
        <family val="2"/>
      </rPr>
      <t xml:space="preserve">L </t>
    </r>
    <r>
      <rPr>
        <sz val="10"/>
        <rFont val="Arial"/>
      </rPr>
      <t>(Benninga- Sarig)</t>
    </r>
  </si>
  <si>
    <t xml:space="preserve">Rel Alto </t>
  </si>
  <si>
    <t>Check</t>
  </si>
  <si>
    <t xml:space="preserve">    x</t>
  </si>
  <si>
    <r>
      <t xml:space="preserve">Coloque una letra </t>
    </r>
    <r>
      <rPr>
        <b/>
        <sz val="12"/>
        <color indexed="10"/>
        <rFont val="Arial"/>
        <family val="2"/>
      </rPr>
      <t xml:space="preserve">a </t>
    </r>
    <r>
      <rPr>
        <sz val="10"/>
        <color indexed="10"/>
        <rFont val="Arial"/>
        <family val="2"/>
      </rPr>
      <t>en la casilla que estime conveniente</t>
    </r>
  </si>
  <si>
    <r>
      <t xml:space="preserve">CÁLCULO DEL COSTO DE CAPITAL DEL PATRIMONIO = K </t>
    </r>
    <r>
      <rPr>
        <vertAlign val="subscript"/>
        <sz val="8"/>
        <rFont val="Arial"/>
        <family val="2"/>
      </rPr>
      <t>e</t>
    </r>
  </si>
  <si>
    <t>Año 0</t>
  </si>
  <si>
    <t>TASA INTERNA DE RETORNO</t>
  </si>
  <si>
    <t>WACC PROMEDIO ARITMÉTICO</t>
  </si>
  <si>
    <t>RECOMENDACIÓN: =========== &gt;</t>
  </si>
  <si>
    <t>Variables dependientes: Utilidad Operacional, Utilidad Neta, Caja, Eva(1), z-score, Valoración con MVA</t>
  </si>
  <si>
    <t>B2B/E-Commerce</t>
  </si>
  <si>
    <t>Bldg-Mobil Home/Mfd Hous</t>
  </si>
  <si>
    <t>Blood Collection Banking</t>
  </si>
  <si>
    <t>Circuits</t>
  </si>
  <si>
    <t>Closed-end Funds</t>
  </si>
  <si>
    <t>Computer Data Security</t>
  </si>
  <si>
    <t>Computer Graphics</t>
  </si>
  <si>
    <t>Cooperative Banks</t>
  </si>
  <si>
    <t>Dental Supplies&amp;Equip</t>
  </si>
  <si>
    <t>Derivatives</t>
  </si>
  <si>
    <t>Diagnostic Kits</t>
  </si>
  <si>
    <t>Direct Marketing</t>
  </si>
  <si>
    <t>Disposable Medical Prod</t>
  </si>
  <si>
    <t>Filtration/Separat Prod</t>
  </si>
  <si>
    <t>Finance-Investment Fund</t>
  </si>
  <si>
    <t>Gas-Transportation</t>
  </si>
  <si>
    <t>Health Care Cost Contain</t>
  </si>
  <si>
    <t>Home Decoration Products</t>
  </si>
  <si>
    <t>Human Resources</t>
  </si>
  <si>
    <t>Instruments-Scientific</t>
  </si>
  <si>
    <t>Internet Brokers</t>
  </si>
  <si>
    <t>Internet Gambling</t>
  </si>
  <si>
    <t>Internet Infrastr Equip</t>
  </si>
  <si>
    <t>Invest Comp - Resources</t>
  </si>
  <si>
    <t>Leisure&amp;Rec Products</t>
  </si>
  <si>
    <t>Leisure&amp;Rec/Games</t>
  </si>
  <si>
    <t>Medical Imaging Systems</t>
  </si>
  <si>
    <t>Medical Information Sys</t>
  </si>
  <si>
    <t>Medical Labs&amp;Testing Srv</t>
  </si>
  <si>
    <t>Medical Laser Systems</t>
  </si>
  <si>
    <t>Medical-HMO</t>
  </si>
  <si>
    <t>Metal Products-Distrib</t>
  </si>
  <si>
    <t>Not classified</t>
  </si>
  <si>
    <t>Patient Monitoring Equip</t>
  </si>
  <si>
    <t>Pharmacy Services</t>
  </si>
  <si>
    <t>Phys Practice Mgmnt</t>
  </si>
  <si>
    <t>Protection-Safety</t>
  </si>
  <si>
    <t>Quarrying</t>
  </si>
  <si>
    <t>Racetracks</t>
  </si>
  <si>
    <t>Remediation Services</t>
  </si>
  <si>
    <t>Research&amp;Development</t>
  </si>
  <si>
    <t>Respiratory Products</t>
  </si>
  <si>
    <t>Retail-Bookstore</t>
  </si>
  <si>
    <t>Retail-Catalog Shopping</t>
  </si>
  <si>
    <t>Retail-Hair Salons</t>
  </si>
  <si>
    <t>Retail-Office Supplies</t>
  </si>
  <si>
    <t>Retail-Toy Store</t>
  </si>
  <si>
    <t>Seismic Data Collection</t>
  </si>
  <si>
    <t>Special Purpose Entity</t>
  </si>
  <si>
    <t>Stevedoring</t>
  </si>
  <si>
    <t>Tannery</t>
  </si>
  <si>
    <t>Veterinary Products</t>
  </si>
  <si>
    <t>Web Hosting/Design</t>
  </si>
  <si>
    <t>Wound,Burn&amp;Skin Care</t>
  </si>
  <si>
    <t>Market</t>
    <phoneticPr fontId="3" type="noConversion"/>
  </si>
  <si>
    <t>Betas 2006</t>
  </si>
  <si>
    <t>Total Ingresos</t>
  </si>
  <si>
    <t>Cto_Vtas</t>
  </si>
  <si>
    <t>Rot_Inventarios</t>
  </si>
  <si>
    <t>Gtos_admón</t>
  </si>
  <si>
    <t>Gtos_Vtas</t>
  </si>
  <si>
    <t>CAPEX</t>
  </si>
  <si>
    <t>Tas_Interés</t>
  </si>
  <si>
    <t>DPP</t>
  </si>
  <si>
    <t>DPC</t>
  </si>
  <si>
    <t>pAY_oUT</t>
  </si>
  <si>
    <t>Gradiente</t>
  </si>
  <si>
    <t>Natural</t>
  </si>
  <si>
    <t>Creado por Werner Zitzmann el 12/04/2008</t>
  </si>
  <si>
    <t>Optimista</t>
  </si>
  <si>
    <t>Pesimista</t>
  </si>
  <si>
    <t>Resumen de escenario</t>
  </si>
  <si>
    <t>Celdas cambiantes:</t>
  </si>
  <si>
    <t>Valores actuales:</t>
  </si>
  <si>
    <t>Celdas de resultado:</t>
  </si>
  <si>
    <t>Notas: La columna de valores actuales representa los valores de las celdas cambiantes</t>
  </si>
  <si>
    <t>en el momento en que se creó el Informe resumen de escenario. Las celdas cambiantes de</t>
  </si>
  <si>
    <t>cada escenario se muestran en gris.</t>
  </si>
  <si>
    <t>Util_Bruta</t>
  </si>
  <si>
    <t>Util_Oper</t>
  </si>
  <si>
    <t>Util_Neta</t>
  </si>
  <si>
    <t>Caja_Año_1</t>
  </si>
  <si>
    <t>z_score_Año_1</t>
  </si>
  <si>
    <t>Vlr_Patrim_MVA</t>
  </si>
  <si>
    <t>Vlr_Patr_FdeCL</t>
  </si>
  <si>
    <t xml:space="preserve">     Ventas</t>
  </si>
  <si>
    <t>Desviac. Est.</t>
  </si>
  <si>
    <t>Probablidad</t>
  </si>
  <si>
    <t>Respuesta:</t>
  </si>
  <si>
    <t>Año Terminal</t>
  </si>
  <si>
    <t xml:space="preserve"> + Capital Invertido Inicial</t>
  </si>
  <si>
    <r>
      <t xml:space="preserve">MVA = </t>
    </r>
    <r>
      <rPr>
        <b/>
        <sz val="12"/>
        <rFont val="Symbol"/>
        <family val="1"/>
        <charset val="2"/>
      </rPr>
      <t>S</t>
    </r>
    <r>
      <rPr>
        <b/>
        <sz val="10"/>
        <rFont val="Arial"/>
        <family val="2"/>
      </rPr>
      <t xml:space="preserve"> VNA EVA j</t>
    </r>
  </si>
  <si>
    <t>VNA del delta Cap. Año n</t>
  </si>
  <si>
    <t>Meta de Utilidad</t>
  </si>
  <si>
    <t>VALOR PATRIMONIAL MVA</t>
  </si>
  <si>
    <t>Variable</t>
  </si>
  <si>
    <t>Input</t>
  </si>
  <si>
    <t>Minimum</t>
  </si>
  <si>
    <t>Maximum</t>
  </si>
  <si>
    <t>Range</t>
  </si>
  <si>
    <t>Base Case</t>
  </si>
  <si>
    <t>**Note: Minimums/Maximums were used instead of Downsides/Upsides because some of the dependencies were not monotonic</t>
  </si>
  <si>
    <t>Tornado</t>
  </si>
  <si>
    <t>Spider</t>
  </si>
  <si>
    <t>Crystal Ball Report - Full</t>
  </si>
  <si>
    <t>No Simulation Data</t>
  </si>
  <si>
    <t>Assumptions</t>
  </si>
  <si>
    <t>Units</t>
  </si>
  <si>
    <t>Probability</t>
  </si>
  <si>
    <t>Worksheet: [Modelo 10 CB.xls]Modelo</t>
  </si>
  <si>
    <t>Assumption: Costo de Ventas</t>
  </si>
  <si>
    <t>Cell: B7</t>
  </si>
  <si>
    <t>Triangular distribution with parameters:</t>
  </si>
  <si>
    <t>Likeliest</t>
  </si>
  <si>
    <t>Assumption: Días Plazo Cartera</t>
  </si>
  <si>
    <t>Cell: B21</t>
  </si>
  <si>
    <t>Assumption: Días Plazo Pago Proveedores</t>
  </si>
  <si>
    <t>Cell: B20</t>
  </si>
  <si>
    <t>Uniform distribution with parameters:</t>
  </si>
  <si>
    <t>Assumption: Gastos de Administración</t>
  </si>
  <si>
    <t>Cell: B9</t>
  </si>
  <si>
    <t>Assumption: Gastos de Ventas</t>
  </si>
  <si>
    <t>Cell: B11</t>
  </si>
  <si>
    <t>Assumption: Tasa de Interés Nominal</t>
  </si>
  <si>
    <t>Cell: B15</t>
  </si>
  <si>
    <t>Assumption: Ventas</t>
  </si>
  <si>
    <t>Cell: B4</t>
  </si>
  <si>
    <t>Normal distribution with parameters:</t>
  </si>
  <si>
    <t>Mean</t>
  </si>
  <si>
    <t>Std. Dev.</t>
  </si>
  <si>
    <t>End of Assumptions</t>
  </si>
  <si>
    <t>Decision Variables</t>
  </si>
  <si>
    <t>Decision Variable: Inversiones en Activos Fijos</t>
  </si>
  <si>
    <t>Cell: B12</t>
  </si>
  <si>
    <t>Variable bounds:</t>
  </si>
  <si>
    <t>Lower</t>
  </si>
  <si>
    <t>Upper</t>
  </si>
  <si>
    <t>Variable type: Discrete</t>
  </si>
  <si>
    <t xml:space="preserve">Step size: </t>
  </si>
  <si>
    <t>Decision Variable: Relación Pago ( % distr. Dividendos)</t>
  </si>
  <si>
    <t>Cell: B24</t>
  </si>
  <si>
    <t>Variable type: Continuous</t>
  </si>
  <si>
    <t>Decision Variable: Rotación de Inventarios</t>
  </si>
  <si>
    <t>Cell: B8</t>
  </si>
  <si>
    <t>End of Decision Variables</t>
  </si>
  <si>
    <t>Report</t>
  </si>
</sst>
</file>

<file path=xl/styles.xml><?xml version="1.0" encoding="utf-8"?>
<styleSheet xmlns="http://schemas.openxmlformats.org/spreadsheetml/2006/main">
  <numFmts count="35">
    <numFmt numFmtId="43" formatCode="_(* #,##0.00_);_(* \(#,##0.00\);_(* &quot;-&quot;??_);_(@_)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&quot;Año &quot;0"/>
    <numFmt numFmtId="173" formatCode="_ * #,##0_ ;_ * \-#,##0_ ;_ * &quot;-&quot;??_ ;_ @_ "/>
    <numFmt numFmtId="174" formatCode="0\ &quot;veces&quot;"/>
    <numFmt numFmtId="175" formatCode="0\ &quot;años&quot;"/>
    <numFmt numFmtId="176" formatCode="&quot;Paso &quot;0"/>
    <numFmt numFmtId="177" formatCode="0\ &quot;días&quot;"/>
    <numFmt numFmtId="178" formatCode="_ * #,##0.000_ ;_ * \-#,##0.000_ ;_ * &quot;-&quot;??_ ;_ @_ "/>
    <numFmt numFmtId="179" formatCode="_ * #,##0.0000_ ;_ * \-#,##0.0000_ ;_ * &quot;-&quot;??_ ;_ @_ "/>
    <numFmt numFmtId="180" formatCode="0.0%"/>
    <numFmt numFmtId="181" formatCode="_ &quot;$&quot;\ * #,##0_ ;_ &quot;$&quot;\ * \-#,##0_ ;_ &quot;$&quot;\ * &quot;-&quot;??_ ;_ @_ "/>
    <numFmt numFmtId="182" formatCode="0.0"/>
    <numFmt numFmtId="183" formatCode=";;;"/>
    <numFmt numFmtId="184" formatCode="&quot;$&quot;#,##0_);[Red]\(&quot;$&quot;#,##0\)"/>
    <numFmt numFmtId="185" formatCode="0.00\ &quot;veces&quot;"/>
    <numFmt numFmtId="186" formatCode="0.000"/>
    <numFmt numFmtId="187" formatCode="_ [$€-2]\ * #,##0.00_ ;_ [$€-2]\ * \-#,##0.00_ ;_ [$€-2]\ * &quot;-&quot;??_ "/>
    <numFmt numFmtId="188" formatCode="#,##0.000_);[Red]\(#,##0.000\)"/>
    <numFmt numFmtId="189" formatCode="0.0%;\(0.0%\)"/>
    <numFmt numFmtId="190" formatCode="#,##0;\(#,##0\)"/>
    <numFmt numFmtId="191" formatCode="#,##0.000"/>
    <numFmt numFmtId="192" formatCode="##0.00"/>
    <numFmt numFmtId="193" formatCode="\ \ @\ \ "/>
    <numFmt numFmtId="195" formatCode="0\ &quot;Años&quot;"/>
    <numFmt numFmtId="196" formatCode="&quot;EVA: &quot;#,##0"/>
    <numFmt numFmtId="197" formatCode="&quot;Ut. Neta: &quot;#,##0"/>
    <numFmt numFmtId="198" formatCode="&quot;z= &quot;#,##0.00"/>
    <numFmt numFmtId="199" formatCode="&quot;Util. Op.: &quot;#,##0"/>
    <numFmt numFmtId="200" formatCode="&quot;Vlr MVA: &quot;#,##0"/>
    <numFmt numFmtId="201" formatCode="\ @"/>
    <numFmt numFmtId="205" formatCode="&quot;$&quot;#,##0.00_);\(&quot;$&quot;#,##0.00\)"/>
    <numFmt numFmtId="206" formatCode="\ #,##0\ ;\ \-#,##0\ "/>
    <numFmt numFmtId="207" formatCode="#,##0\ ;\ \-#,##0"/>
  </numFmts>
  <fonts count="82">
    <font>
      <sz val="10"/>
      <name val="Arial"/>
    </font>
    <font>
      <sz val="10"/>
      <name val="Arial"/>
    </font>
    <font>
      <sz val="8"/>
      <name val="Arial"/>
      <family val="2"/>
    </font>
    <font>
      <u/>
      <sz val="10"/>
      <color indexed="12"/>
      <name val="Arial"/>
      <family val="2"/>
    </font>
    <font>
      <sz val="11"/>
      <name val="Century Gothic"/>
      <family val="2"/>
    </font>
    <font>
      <sz val="8"/>
      <name val="Century Gothic"/>
      <family val="2"/>
    </font>
    <font>
      <b/>
      <sz val="11"/>
      <name val="Century Gothic"/>
      <family val="2"/>
    </font>
    <font>
      <b/>
      <sz val="10"/>
      <name val="Arial"/>
      <family val="2"/>
    </font>
    <font>
      <b/>
      <sz val="11"/>
      <color indexed="10"/>
      <name val="Century Gothic"/>
      <family val="2"/>
    </font>
    <font>
      <b/>
      <vertAlign val="subscript"/>
      <sz val="11"/>
      <name val="Century Gothic"/>
      <family val="2"/>
    </font>
    <font>
      <sz val="11"/>
      <name val="Century Gothic"/>
      <family val="2"/>
    </font>
    <font>
      <b/>
      <sz val="10"/>
      <name val="Century Gothic"/>
      <family val="2"/>
    </font>
    <font>
      <b/>
      <u/>
      <sz val="10"/>
      <color indexed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u/>
      <sz val="10"/>
      <color indexed="12"/>
      <name val="Arial"/>
      <family val="2"/>
    </font>
    <font>
      <b/>
      <sz val="8"/>
      <name val="Arial"/>
      <family val="2"/>
    </font>
    <font>
      <b/>
      <u/>
      <sz val="12"/>
      <color indexed="12"/>
      <name val="Symbol"/>
      <family val="1"/>
      <charset val="2"/>
    </font>
    <font>
      <b/>
      <sz val="10"/>
      <color indexed="13"/>
      <name val="Arial"/>
      <family val="2"/>
    </font>
    <font>
      <b/>
      <sz val="12"/>
      <name val="Symbol"/>
      <family val="1"/>
      <charset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18"/>
      <name val="Arial"/>
      <family val="2"/>
    </font>
    <font>
      <b/>
      <i/>
      <sz val="8"/>
      <color indexed="12"/>
      <name val="Arial"/>
      <family val="2"/>
    </font>
    <font>
      <sz val="6"/>
      <name val="Arial"/>
      <family val="2"/>
    </font>
    <font>
      <sz val="10"/>
      <name val="Arial"/>
      <family val="2"/>
    </font>
    <font>
      <i/>
      <sz val="10"/>
      <color indexed="12"/>
      <name val="Arial"/>
      <family val="2"/>
    </font>
    <font>
      <sz val="8"/>
      <color indexed="81"/>
      <name val="Tahoma"/>
      <family val="2"/>
    </font>
    <font>
      <b/>
      <vertAlign val="subscript"/>
      <sz val="11"/>
      <name val="Arial"/>
      <family val="2"/>
    </font>
    <font>
      <vertAlign val="subscript"/>
      <sz val="11"/>
      <name val="Arial"/>
      <family val="2"/>
    </font>
    <font>
      <vertAlign val="subscript"/>
      <sz val="12"/>
      <name val="Arial"/>
      <family val="2"/>
    </font>
    <font>
      <vertAlign val="subscript"/>
      <sz val="10"/>
      <name val="Arial"/>
      <family val="2"/>
    </font>
    <font>
      <sz val="12"/>
      <name val="Symbol"/>
      <family val="1"/>
      <charset val="2"/>
    </font>
    <font>
      <sz val="6"/>
      <name val="Arial"/>
      <family val="2"/>
    </font>
    <font>
      <b/>
      <vertAlign val="subscript"/>
      <sz val="10"/>
      <color indexed="81"/>
      <name val="Tahoma"/>
      <family val="2"/>
    </font>
    <font>
      <u/>
      <sz val="10"/>
      <name val="Arial"/>
      <family val="2"/>
    </font>
    <font>
      <sz val="10"/>
      <name val="Tms Rmn"/>
    </font>
    <font>
      <sz val="10"/>
      <name val="MS Sans Serif"/>
      <family val="2"/>
    </font>
    <font>
      <sz val="8"/>
      <color indexed="12"/>
      <name val="Tms Rmn"/>
    </font>
    <font>
      <sz val="8"/>
      <name val="Tms Rmn"/>
    </font>
    <font>
      <sz val="12"/>
      <name val="Arial MT"/>
    </font>
    <font>
      <sz val="11"/>
      <name val="Arial"/>
      <family val="2"/>
    </font>
    <font>
      <b/>
      <i/>
      <sz val="12"/>
      <color indexed="39"/>
      <name val="Arial"/>
      <family val="2"/>
    </font>
    <font>
      <sz val="10"/>
      <color indexed="17"/>
      <name val="Arial"/>
      <family val="2"/>
    </font>
    <font>
      <b/>
      <sz val="10"/>
      <color indexed="17"/>
      <name val="Arial"/>
      <family val="2"/>
    </font>
    <font>
      <sz val="8"/>
      <color indexed="17"/>
      <name val="Tms Rmn"/>
    </font>
    <font>
      <sz val="10"/>
      <name val="Verdana"/>
      <family val="2"/>
    </font>
    <font>
      <sz val="8"/>
      <color indexed="14"/>
      <name val="Tms Rmn"/>
    </font>
    <font>
      <sz val="8"/>
      <color indexed="8"/>
      <name val="Tms Rmn"/>
    </font>
    <font>
      <sz val="8"/>
      <name val="Arial"/>
      <family val="2"/>
    </font>
    <font>
      <sz val="10"/>
      <name val="Times New Roman"/>
      <family val="1"/>
    </font>
    <font>
      <sz val="9"/>
      <color indexed="8"/>
      <name val="Times New Roman"/>
      <family val="1"/>
    </font>
    <font>
      <sz val="10"/>
      <name val="MS Serif"/>
      <family val="1"/>
    </font>
    <font>
      <b/>
      <u/>
      <sz val="10"/>
      <name val="Tms Rmn"/>
    </font>
    <font>
      <sz val="8"/>
      <name val="Verdana"/>
      <family val="2"/>
    </font>
    <font>
      <i/>
      <sz val="10"/>
      <name val="Verdana"/>
      <family val="2"/>
    </font>
    <font>
      <b/>
      <sz val="10"/>
      <name val="Verdana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sz val="12"/>
      <name val="Arial"/>
      <family val="2"/>
    </font>
    <font>
      <sz val="10"/>
      <name val="Webdings"/>
      <family val="1"/>
      <charset val="2"/>
    </font>
    <font>
      <b/>
      <i/>
      <sz val="12"/>
      <name val="Arial"/>
      <family val="2"/>
    </font>
    <font>
      <b/>
      <sz val="12"/>
      <color indexed="18"/>
      <name val="Arial"/>
      <family val="2"/>
    </font>
    <font>
      <sz val="10"/>
      <color indexed="18"/>
      <name val="Arial"/>
      <family val="2"/>
    </font>
    <font>
      <b/>
      <vertAlign val="subscript"/>
      <sz val="12"/>
      <name val="Arial"/>
      <family val="2"/>
    </font>
    <font>
      <b/>
      <sz val="10"/>
      <color indexed="10"/>
      <name val="Arial"/>
      <family val="2"/>
    </font>
    <font>
      <vertAlign val="subscript"/>
      <sz val="8"/>
      <name val="Arial"/>
      <family val="2"/>
    </font>
    <font>
      <b/>
      <sz val="8"/>
      <color indexed="10"/>
      <name val="Tahoma"/>
      <family val="2"/>
    </font>
    <font>
      <sz val="8"/>
      <color indexed="10"/>
      <name val="Tahoma"/>
      <family val="2"/>
    </font>
    <font>
      <b/>
      <sz val="8"/>
      <color indexed="81"/>
      <name val="Tahoma"/>
      <family val="2"/>
    </font>
    <font>
      <sz val="9"/>
      <name val="Arial"/>
      <family val="2"/>
    </font>
    <font>
      <sz val="9"/>
      <color indexed="9"/>
      <name val="Arial"/>
      <family val="2"/>
    </font>
    <font>
      <sz val="10"/>
      <name val="Arial"/>
      <family val="2"/>
    </font>
    <font>
      <b/>
      <sz val="10"/>
      <name val="MS Sans Serif"/>
      <family val="2"/>
    </font>
    <font>
      <b/>
      <sz val="11"/>
      <color indexed="9"/>
      <name val="Arial"/>
      <family val="2"/>
    </font>
    <font>
      <b/>
      <sz val="10"/>
      <color indexed="8"/>
      <name val="Arial"/>
      <family val="2"/>
    </font>
    <font>
      <b/>
      <sz val="10"/>
      <color indexed="18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00"/>
      <name val="Arial"/>
      <family val="2"/>
    </font>
    <font>
      <i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indexed="22"/>
        <bgColor indexed="24"/>
      </patternFill>
    </fill>
    <fill>
      <patternFill patternType="solid">
        <fgColor rgb="FFFFFF00"/>
        <bgColor indexed="64"/>
      </patternFill>
    </fill>
    <fill>
      <patternFill patternType="solid">
        <fgColor theme="3" tint="-0.49998474074526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8"/>
      </bottom>
      <diagonal/>
    </border>
    <border>
      <left/>
      <right/>
      <top style="medium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23"/>
      </bottom>
      <diagonal/>
    </border>
    <border>
      <left style="thin">
        <color indexed="23"/>
      </left>
      <right style="dashed">
        <color indexed="9"/>
      </right>
      <top/>
      <bottom style="dashed">
        <color indexed="9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0">
    <xf numFmtId="0" fontId="0" fillId="0" borderId="0"/>
    <xf numFmtId="193" fontId="35" fillId="2" borderId="0" applyNumberFormat="0" applyFill="0" applyBorder="0" applyAlignment="0" applyProtection="0">
      <protection locked="0"/>
    </xf>
    <xf numFmtId="38" fontId="36" fillId="0" borderId="0" applyFont="0" applyFill="0" applyBorder="0" applyAlignment="0" applyProtection="0"/>
    <xf numFmtId="40" fontId="37" fillId="0" borderId="0" applyFont="0" applyFill="0" applyBorder="0" applyAlignment="0" applyProtection="0"/>
    <xf numFmtId="184" fontId="38" fillId="0" borderId="1" applyBorder="0"/>
    <xf numFmtId="184" fontId="36" fillId="0" borderId="0" applyFont="0" applyFill="0" applyBorder="0" applyAlignment="0" applyProtection="0"/>
    <xf numFmtId="184" fontId="39" fillId="0" borderId="0" applyFill="0" applyBorder="0" applyAlignment="0" applyProtection="0"/>
    <xf numFmtId="37" fontId="40" fillId="0" borderId="2"/>
    <xf numFmtId="190" fontId="36" fillId="0" borderId="0"/>
    <xf numFmtId="187" fontId="41" fillId="0" borderId="0" applyFont="0" applyFill="0" applyBorder="0" applyAlignment="0" applyProtection="0"/>
    <xf numFmtId="0" fontId="42" fillId="2" borderId="0"/>
    <xf numFmtId="0" fontId="3" fillId="0" borderId="0" applyNumberFormat="0" applyFill="0" applyBorder="0" applyAlignment="0" applyProtection="0">
      <alignment vertical="top"/>
      <protection locked="0"/>
    </xf>
    <xf numFmtId="192" fontId="43" fillId="0" borderId="3" applyBorder="0">
      <protection locked="0"/>
    </xf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44" fillId="0" borderId="0">
      <alignment horizontal="right"/>
    </xf>
    <xf numFmtId="0" fontId="43" fillId="0" borderId="4" applyNumberFormat="0" applyAlignment="0"/>
    <xf numFmtId="0" fontId="40" fillId="0" borderId="0"/>
    <xf numFmtId="37" fontId="38" fillId="0" borderId="0"/>
    <xf numFmtId="38" fontId="45" fillId="0" borderId="0"/>
    <xf numFmtId="0" fontId="79" fillId="0" borderId="0"/>
    <xf numFmtId="0" fontId="37" fillId="0" borderId="0"/>
    <xf numFmtId="0" fontId="46" fillId="0" borderId="0"/>
    <xf numFmtId="0" fontId="4" fillId="0" borderId="0"/>
    <xf numFmtId="189" fontId="47" fillId="0" borderId="0"/>
    <xf numFmtId="189" fontId="48" fillId="0" borderId="0" applyFill="0" applyAlignment="0" applyProtection="0"/>
    <xf numFmtId="38" fontId="49" fillId="0" borderId="0" applyFill="0" applyBorder="0" applyAlignment="0" applyProtection="0">
      <alignment horizontal="right"/>
    </xf>
    <xf numFmtId="9" fontId="1" fillId="0" borderId="0" applyFont="0" applyFill="0" applyBorder="0" applyAlignment="0" applyProtection="0"/>
    <xf numFmtId="191" fontId="50" fillId="0" borderId="0">
      <protection locked="0"/>
    </xf>
    <xf numFmtId="3" fontId="25" fillId="2" borderId="5" applyFont="0" applyFill="0" applyBorder="0" applyAlignment="0" applyProtection="0"/>
    <xf numFmtId="4" fontId="25" fillId="2" borderId="5" applyFont="0" applyFill="0" applyBorder="0" applyAlignment="0" applyProtection="0"/>
    <xf numFmtId="188" fontId="25" fillId="2" borderId="5" applyFont="0" applyFill="0" applyBorder="0" applyAlignment="0" applyProtection="0"/>
    <xf numFmtId="38" fontId="25" fillId="2" borderId="6" applyFont="0" applyFill="0" applyBorder="0" applyAlignment="0" applyProtection="0"/>
    <xf numFmtId="10" fontId="25" fillId="2" borderId="5" applyFont="0" applyFill="0" applyBorder="0" applyAlignment="0" applyProtection="0"/>
    <xf numFmtId="9" fontId="25" fillId="2" borderId="5" applyFont="0" applyFill="0" applyBorder="0" applyAlignment="0" applyProtection="0"/>
    <xf numFmtId="2" fontId="25" fillId="2" borderId="5" applyFont="0" applyFill="0" applyBorder="0" applyAlignment="0" applyProtection="0"/>
    <xf numFmtId="190" fontId="51" fillId="0" borderId="0" applyNumberFormat="0" applyFill="0" applyBorder="0" applyAlignment="0" applyProtection="0"/>
    <xf numFmtId="0" fontId="52" fillId="0" borderId="7" applyNumberFormat="0" applyFill="0" applyProtection="0"/>
    <xf numFmtId="0" fontId="53" fillId="0" borderId="0"/>
  </cellStyleXfs>
  <cellXfs count="247">
    <xf numFmtId="0" fontId="0" fillId="0" borderId="0" xfId="0"/>
    <xf numFmtId="172" fontId="0" fillId="0" borderId="0" xfId="0" applyNumberFormat="1"/>
    <xf numFmtId="173" fontId="0" fillId="0" borderId="0" xfId="13" applyNumberFormat="1" applyFont="1"/>
    <xf numFmtId="9" fontId="0" fillId="0" borderId="0" xfId="0" applyNumberFormat="1"/>
    <xf numFmtId="0" fontId="6" fillId="0" borderId="0" xfId="24" applyFont="1"/>
    <xf numFmtId="0" fontId="4" fillId="0" borderId="0" xfId="24"/>
    <xf numFmtId="0" fontId="6" fillId="0" borderId="0" xfId="24" applyFont="1" applyAlignment="1">
      <alignment horizontal="left" indent="1"/>
    </xf>
    <xf numFmtId="0" fontId="7" fillId="0" borderId="0" xfId="0" applyFont="1"/>
    <xf numFmtId="0" fontId="6" fillId="0" borderId="0" xfId="24" applyFont="1" applyAlignment="1">
      <alignment horizontal="left" indent="2"/>
    </xf>
    <xf numFmtId="0" fontId="4" fillId="0" borderId="0" xfId="24" applyAlignment="1">
      <alignment horizontal="left" indent="1"/>
    </xf>
    <xf numFmtId="0" fontId="6" fillId="0" borderId="0" xfId="24" applyFont="1" applyAlignment="1">
      <alignment horizontal="left" indent="4"/>
    </xf>
    <xf numFmtId="11" fontId="6" fillId="0" borderId="0" xfId="24" applyNumberFormat="1" applyFont="1" applyAlignment="1">
      <alignment horizontal="left" indent="1"/>
    </xf>
    <xf numFmtId="0" fontId="8" fillId="0" borderId="0" xfId="24" applyFont="1" applyAlignment="1">
      <alignment horizontal="left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3"/>
    </xf>
    <xf numFmtId="0" fontId="10" fillId="0" borderId="0" xfId="24" applyFont="1"/>
    <xf numFmtId="0" fontId="10" fillId="0" borderId="0" xfId="24" applyFont="1" applyAlignment="1">
      <alignment horizontal="left" indent="1"/>
    </xf>
    <xf numFmtId="0" fontId="11" fillId="0" borderId="0" xfId="0" applyFont="1"/>
    <xf numFmtId="0" fontId="11" fillId="0" borderId="0" xfId="0" applyFont="1" applyAlignment="1">
      <alignment horizontal="left" indent="1"/>
    </xf>
    <xf numFmtId="0" fontId="3" fillId="0" borderId="0" xfId="11" applyAlignment="1" applyProtection="1">
      <alignment horizontal="left" indent="3"/>
    </xf>
    <xf numFmtId="0" fontId="3" fillId="0" borderId="0" xfId="11" applyAlignment="1" applyProtection="1">
      <alignment horizontal="left" indent="1"/>
    </xf>
    <xf numFmtId="0" fontId="11" fillId="0" borderId="0" xfId="0" applyFont="1" applyAlignment="1">
      <alignment horizontal="left" indent="3"/>
    </xf>
    <xf numFmtId="0" fontId="11" fillId="0" borderId="0" xfId="0" applyFont="1" applyAlignment="1">
      <alignment horizontal="left" indent="6"/>
    </xf>
    <xf numFmtId="0" fontId="11" fillId="0" borderId="0" xfId="0" applyFont="1" applyAlignment="1">
      <alignment horizontal="left" indent="2"/>
    </xf>
    <xf numFmtId="0" fontId="11" fillId="0" borderId="0" xfId="0" applyFont="1" applyAlignment="1">
      <alignment horizontal="left" indent="4"/>
    </xf>
    <xf numFmtId="0" fontId="12" fillId="0" borderId="0" xfId="11" applyFont="1" applyAlignment="1" applyProtection="1"/>
    <xf numFmtId="0" fontId="3" fillId="0" borderId="0" xfId="11" applyAlignment="1" applyProtection="1">
      <alignment horizontal="left" indent="2"/>
    </xf>
    <xf numFmtId="0" fontId="0" fillId="0" borderId="0" xfId="0" applyAlignment="1">
      <alignment horizontal="left" indent="2"/>
    </xf>
    <xf numFmtId="0" fontId="13" fillId="0" borderId="0" xfId="0" applyFont="1"/>
    <xf numFmtId="0" fontId="14" fillId="0" borderId="0" xfId="0" applyFont="1"/>
    <xf numFmtId="0" fontId="15" fillId="0" borderId="0" xfId="11" applyFont="1" applyAlignment="1" applyProtection="1"/>
    <xf numFmtId="0" fontId="16" fillId="0" borderId="0" xfId="0" applyFont="1"/>
    <xf numFmtId="0" fontId="18" fillId="3" borderId="0" xfId="0" applyFont="1" applyFill="1"/>
    <xf numFmtId="0" fontId="19" fillId="0" borderId="0" xfId="0" applyFont="1"/>
    <xf numFmtId="9" fontId="13" fillId="0" borderId="0" xfId="0" applyNumberFormat="1" applyFont="1"/>
    <xf numFmtId="173" fontId="13" fillId="0" borderId="0" xfId="13" applyNumberFormat="1" applyFont="1"/>
    <xf numFmtId="173" fontId="13" fillId="4" borderId="8" xfId="13" applyNumberFormat="1" applyFont="1" applyFill="1" applyBorder="1"/>
    <xf numFmtId="183" fontId="13" fillId="0" borderId="0" xfId="0" applyNumberFormat="1" applyFont="1"/>
    <xf numFmtId="176" fontId="22" fillId="0" borderId="0" xfId="0" applyNumberFormat="1" applyFont="1" applyAlignment="1">
      <alignment horizontal="center"/>
    </xf>
    <xf numFmtId="9" fontId="13" fillId="0" borderId="0" xfId="28" applyFont="1"/>
    <xf numFmtId="175" fontId="13" fillId="0" borderId="0" xfId="13" applyNumberFormat="1" applyFont="1"/>
    <xf numFmtId="10" fontId="13" fillId="0" borderId="0" xfId="28" applyNumberFormat="1" applyFont="1"/>
    <xf numFmtId="177" fontId="13" fillId="0" borderId="0" xfId="13" applyNumberFormat="1" applyFont="1"/>
    <xf numFmtId="0" fontId="3" fillId="0" borderId="0" xfId="11" applyAlignment="1" applyProtection="1"/>
    <xf numFmtId="173" fontId="0" fillId="0" borderId="0" xfId="0" applyNumberFormat="1"/>
    <xf numFmtId="0" fontId="6" fillId="0" borderId="0" xfId="24" applyFont="1" applyAlignment="1">
      <alignment horizontal="center"/>
    </xf>
    <xf numFmtId="171" fontId="0" fillId="0" borderId="0" xfId="0" applyNumberFormat="1"/>
    <xf numFmtId="171" fontId="0" fillId="0" borderId="0" xfId="13" applyFont="1"/>
    <xf numFmtId="0" fontId="23" fillId="0" borderId="0" xfId="0" applyFont="1"/>
    <xf numFmtId="11" fontId="0" fillId="0" borderId="0" xfId="0" applyNumberFormat="1"/>
    <xf numFmtId="0" fontId="24" fillId="0" borderId="0" xfId="0" applyFont="1" applyAlignment="1">
      <alignment horizontal="center"/>
    </xf>
    <xf numFmtId="172" fontId="16" fillId="0" borderId="8" xfId="0" applyNumberFormat="1" applyFont="1" applyBorder="1"/>
    <xf numFmtId="0" fontId="14" fillId="0" borderId="8" xfId="0" applyFont="1" applyBorder="1"/>
    <xf numFmtId="0" fontId="0" fillId="0" borderId="8" xfId="0" applyBorder="1"/>
    <xf numFmtId="10" fontId="0" fillId="0" borderId="0" xfId="28" applyNumberFormat="1" applyFont="1"/>
    <xf numFmtId="185" fontId="0" fillId="0" borderId="0" xfId="13" applyNumberFormat="1" applyFont="1"/>
    <xf numFmtId="181" fontId="0" fillId="0" borderId="0" xfId="15" applyNumberFormat="1" applyFont="1"/>
    <xf numFmtId="171" fontId="0" fillId="0" borderId="0" xfId="13" applyNumberFormat="1" applyFont="1"/>
    <xf numFmtId="170" fontId="0" fillId="0" borderId="0" xfId="15" applyFont="1"/>
    <xf numFmtId="177" fontId="0" fillId="0" borderId="0" xfId="0" applyNumberFormat="1"/>
    <xf numFmtId="178" fontId="0" fillId="0" borderId="0" xfId="13" applyNumberFormat="1" applyFont="1"/>
    <xf numFmtId="179" fontId="0" fillId="0" borderId="0" xfId="0" applyNumberFormat="1"/>
    <xf numFmtId="10" fontId="0" fillId="0" borderId="0" xfId="0" applyNumberFormat="1"/>
    <xf numFmtId="10" fontId="0" fillId="4" borderId="0" xfId="28" applyNumberFormat="1" applyFont="1" applyFill="1"/>
    <xf numFmtId="10" fontId="0" fillId="0" borderId="8" xfId="28" applyNumberFormat="1" applyFont="1" applyBorder="1"/>
    <xf numFmtId="10" fontId="0" fillId="0" borderId="9" xfId="28" applyNumberFormat="1" applyFont="1" applyBorder="1"/>
    <xf numFmtId="10" fontId="0" fillId="4" borderId="10" xfId="28" applyNumberFormat="1" applyFont="1" applyFill="1" applyBorder="1"/>
    <xf numFmtId="9" fontId="0" fillId="0" borderId="10" xfId="0" applyNumberFormat="1" applyBorder="1"/>
    <xf numFmtId="10" fontId="0" fillId="5" borderId="0" xfId="28" applyNumberFormat="1" applyFont="1" applyFill="1"/>
    <xf numFmtId="10" fontId="0" fillId="6" borderId="0" xfId="28" applyNumberFormat="1" applyFont="1" applyFill="1"/>
    <xf numFmtId="0" fontId="0" fillId="0" borderId="0" xfId="0" applyAlignment="1">
      <alignment horizontal="right"/>
    </xf>
    <xf numFmtId="170" fontId="0" fillId="0" borderId="0" xfId="0" applyNumberFormat="1"/>
    <xf numFmtId="186" fontId="0" fillId="0" borderId="0" xfId="0" applyNumberFormat="1"/>
    <xf numFmtId="0" fontId="0" fillId="7" borderId="0" xfId="0" applyFill="1" applyAlignment="1">
      <alignment horizontal="center"/>
    </xf>
    <xf numFmtId="10" fontId="0" fillId="7" borderId="0" xfId="0" applyNumberFormat="1" applyFill="1"/>
    <xf numFmtId="172" fontId="0" fillId="0" borderId="0" xfId="13" applyNumberFormat="1" applyFont="1"/>
    <xf numFmtId="174" fontId="25" fillId="0" borderId="0" xfId="13" applyNumberFormat="1" applyFont="1"/>
    <xf numFmtId="177" fontId="0" fillId="0" borderId="0" xfId="0" applyNumberFormat="1" applyAlignment="1">
      <alignment horizontal="center"/>
    </xf>
    <xf numFmtId="0" fontId="26" fillId="0" borderId="0" xfId="0" applyFont="1"/>
    <xf numFmtId="180" fontId="0" fillId="0" borderId="0" xfId="28" applyNumberFormat="1" applyFont="1"/>
    <xf numFmtId="175" fontId="0" fillId="0" borderId="0" xfId="0" applyNumberFormat="1"/>
    <xf numFmtId="0" fontId="46" fillId="0" borderId="0" xfId="23"/>
    <xf numFmtId="0" fontId="55" fillId="0" borderId="0" xfId="23" applyFont="1"/>
    <xf numFmtId="0" fontId="55" fillId="0" borderId="0" xfId="23" applyFont="1" applyAlignment="1">
      <alignment horizontal="center"/>
    </xf>
    <xf numFmtId="2" fontId="55" fillId="0" borderId="0" xfId="23" applyNumberFormat="1" applyFont="1" applyAlignment="1">
      <alignment horizontal="center"/>
    </xf>
    <xf numFmtId="10" fontId="55" fillId="0" borderId="0" xfId="23" applyNumberFormat="1" applyFont="1" applyAlignment="1">
      <alignment horizontal="center"/>
    </xf>
    <xf numFmtId="0" fontId="56" fillId="0" borderId="0" xfId="23" applyFont="1"/>
    <xf numFmtId="0" fontId="58" fillId="0" borderId="0" xfId="0" applyFont="1"/>
    <xf numFmtId="0" fontId="59" fillId="0" borderId="0" xfId="0" applyFont="1"/>
    <xf numFmtId="0" fontId="13" fillId="0" borderId="10" xfId="0" applyFont="1" applyBorder="1" applyAlignment="1">
      <alignment horizontal="center"/>
    </xf>
    <xf numFmtId="0" fontId="60" fillId="0" borderId="11" xfId="0" applyFont="1" applyBorder="1" applyAlignment="1">
      <alignment horizontal="center"/>
    </xf>
    <xf numFmtId="0" fontId="59" fillId="0" borderId="10" xfId="0" applyFont="1" applyBorder="1" applyAlignment="1">
      <alignment horizontal="center"/>
    </xf>
    <xf numFmtId="0" fontId="13" fillId="0" borderId="10" xfId="0" applyFont="1" applyBorder="1"/>
    <xf numFmtId="0" fontId="61" fillId="0" borderId="12" xfId="0" applyFont="1" applyBorder="1" applyAlignment="1">
      <alignment horizontal="center"/>
    </xf>
    <xf numFmtId="0" fontId="60" fillId="0" borderId="13" xfId="0" applyFont="1" applyBorder="1" applyAlignment="1">
      <alignment horizontal="center"/>
    </xf>
    <xf numFmtId="43" fontId="1" fillId="0" borderId="0" xfId="14"/>
    <xf numFmtId="9" fontId="59" fillId="0" borderId="10" xfId="28" applyFont="1" applyBorder="1" applyAlignment="1">
      <alignment horizontal="center"/>
    </xf>
    <xf numFmtId="0" fontId="61" fillId="0" borderId="10" xfId="0" applyFont="1" applyBorder="1" applyAlignment="1">
      <alignment horizontal="center"/>
    </xf>
    <xf numFmtId="0" fontId="59" fillId="0" borderId="1" xfId="0" applyFont="1" applyBorder="1"/>
    <xf numFmtId="0" fontId="62" fillId="0" borderId="10" xfId="0" applyFont="1" applyFill="1" applyBorder="1" applyAlignment="1">
      <alignment horizontal="center"/>
    </xf>
    <xf numFmtId="0" fontId="59" fillId="0" borderId="0" xfId="0" applyFont="1" applyAlignment="1">
      <alignment horizontal="center"/>
    </xf>
    <xf numFmtId="2" fontId="60" fillId="0" borderId="10" xfId="0" applyNumberFormat="1" applyFont="1" applyBorder="1" applyAlignment="1">
      <alignment horizontal="center"/>
    </xf>
    <xf numFmtId="43" fontId="59" fillId="0" borderId="0" xfId="14" applyFont="1"/>
    <xf numFmtId="9" fontId="63" fillId="0" borderId="10" xfId="0" applyNumberFormat="1" applyFont="1" applyBorder="1" applyAlignment="1">
      <alignment horizontal="center"/>
    </xf>
    <xf numFmtId="2" fontId="60" fillId="0" borderId="0" xfId="0" applyNumberFormat="1" applyFont="1" applyAlignment="1">
      <alignment horizontal="center"/>
    </xf>
    <xf numFmtId="43" fontId="60" fillId="0" borderId="0" xfId="14" applyFont="1"/>
    <xf numFmtId="0" fontId="61" fillId="0" borderId="14" xfId="0" applyFont="1" applyBorder="1" applyAlignment="1">
      <alignment horizontal="right"/>
    </xf>
    <xf numFmtId="182" fontId="61" fillId="0" borderId="15" xfId="0" quotePrefix="1" applyNumberFormat="1" applyFont="1" applyBorder="1" applyAlignment="1">
      <alignment horizontal="center"/>
    </xf>
    <xf numFmtId="0" fontId="59" fillId="0" borderId="15" xfId="0" applyFont="1" applyBorder="1" applyAlignment="1">
      <alignment horizontal="center"/>
    </xf>
    <xf numFmtId="43" fontId="13" fillId="0" borderId="8" xfId="14" applyFont="1" applyBorder="1"/>
    <xf numFmtId="0" fontId="64" fillId="0" borderId="0" xfId="0" applyFont="1"/>
    <xf numFmtId="0" fontId="65" fillId="0" borderId="0" xfId="0" applyFont="1"/>
    <xf numFmtId="183" fontId="0" fillId="0" borderId="0" xfId="0" applyNumberFormat="1"/>
    <xf numFmtId="180" fontId="0" fillId="0" borderId="0" xfId="0" applyNumberFormat="1"/>
    <xf numFmtId="0" fontId="16" fillId="0" borderId="0" xfId="0" applyFont="1" applyAlignment="1">
      <alignment horizontal="center"/>
    </xf>
    <xf numFmtId="183" fontId="59" fillId="0" borderId="0" xfId="0" applyNumberFormat="1" applyFont="1"/>
    <xf numFmtId="0" fontId="49" fillId="0" borderId="0" xfId="0" applyFont="1"/>
    <xf numFmtId="43" fontId="61" fillId="0" borderId="15" xfId="14" applyNumberFormat="1" applyFont="1" applyBorder="1"/>
    <xf numFmtId="0" fontId="61" fillId="0" borderId="15" xfId="0" applyFont="1" applyBorder="1" applyAlignment="1">
      <alignment horizontal="left"/>
    </xf>
    <xf numFmtId="2" fontId="61" fillId="0" borderId="16" xfId="0" applyNumberFormat="1" applyFont="1" applyBorder="1" applyAlignment="1">
      <alignment horizontal="center"/>
    </xf>
    <xf numFmtId="9" fontId="67" fillId="0" borderId="0" xfId="0" applyNumberFormat="1" applyFont="1" applyAlignment="1">
      <alignment horizontal="center"/>
    </xf>
    <xf numFmtId="0" fontId="2" fillId="0" borderId="0" xfId="0" applyFont="1"/>
    <xf numFmtId="179" fontId="0" fillId="0" borderId="0" xfId="13" applyNumberFormat="1" applyFont="1"/>
    <xf numFmtId="181" fontId="0" fillId="0" borderId="0" xfId="0" applyNumberFormat="1"/>
    <xf numFmtId="175" fontId="0" fillId="0" borderId="0" xfId="0" applyNumberFormat="1" applyAlignment="1">
      <alignment horizontal="center"/>
    </xf>
    <xf numFmtId="195" fontId="0" fillId="0" borderId="0" xfId="0" applyNumberFormat="1" applyAlignment="1">
      <alignment horizontal="center"/>
    </xf>
    <xf numFmtId="183" fontId="0" fillId="0" borderId="0" xfId="15" applyNumberFormat="1" applyFont="1"/>
    <xf numFmtId="171" fontId="13" fillId="4" borderId="8" xfId="13" applyNumberFormat="1" applyFont="1" applyFill="1" applyBorder="1"/>
    <xf numFmtId="199" fontId="13" fillId="0" borderId="8" xfId="0" applyNumberFormat="1" applyFont="1" applyBorder="1" applyAlignment="1">
      <alignment horizontal="center"/>
    </xf>
    <xf numFmtId="197" fontId="13" fillId="0" borderId="8" xfId="0" applyNumberFormat="1" applyFont="1" applyBorder="1"/>
    <xf numFmtId="196" fontId="13" fillId="0" borderId="8" xfId="0" applyNumberFormat="1" applyFont="1" applyBorder="1"/>
    <xf numFmtId="198" fontId="13" fillId="0" borderId="8" xfId="0" applyNumberFormat="1" applyFont="1" applyBorder="1"/>
    <xf numFmtId="200" fontId="13" fillId="0" borderId="8" xfId="0" applyNumberFormat="1" applyFont="1" applyBorder="1"/>
    <xf numFmtId="9" fontId="13" fillId="0" borderId="8" xfId="0" applyNumberFormat="1" applyFont="1" applyBorder="1"/>
    <xf numFmtId="173" fontId="13" fillId="4" borderId="0" xfId="13" applyNumberFormat="1" applyFont="1" applyFill="1"/>
    <xf numFmtId="173" fontId="13" fillId="0" borderId="10" xfId="0" applyNumberFormat="1" applyFont="1" applyBorder="1"/>
    <xf numFmtId="173" fontId="13" fillId="5" borderId="0" xfId="13" applyNumberFormat="1" applyFont="1" applyFill="1"/>
    <xf numFmtId="9" fontId="13" fillId="5" borderId="0" xfId="28" applyFont="1" applyFill="1"/>
    <xf numFmtId="185" fontId="13" fillId="4" borderId="0" xfId="13" applyNumberFormat="1" applyFont="1" applyFill="1"/>
    <xf numFmtId="10" fontId="13" fillId="5" borderId="0" xfId="28" applyNumberFormat="1" applyFont="1" applyFill="1"/>
    <xf numFmtId="177" fontId="13" fillId="5" borderId="0" xfId="13" applyNumberFormat="1" applyFont="1" applyFill="1"/>
    <xf numFmtId="9" fontId="13" fillId="4" borderId="0" xfId="28" applyFont="1" applyFill="1"/>
    <xf numFmtId="173" fontId="0" fillId="8" borderId="0" xfId="13" applyNumberFormat="1" applyFont="1" applyFill="1"/>
    <xf numFmtId="171" fontId="0" fillId="8" borderId="0" xfId="13" applyFont="1" applyFill="1"/>
    <xf numFmtId="173" fontId="0" fillId="8" borderId="0" xfId="0" applyNumberFormat="1" applyFill="1"/>
    <xf numFmtId="0" fontId="0" fillId="0" borderId="10" xfId="0" applyBorder="1"/>
    <xf numFmtId="0" fontId="0" fillId="0" borderId="10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10" fontId="0" fillId="0" borderId="10" xfId="0" applyNumberFormat="1" applyBorder="1" applyAlignment="1">
      <alignment horizontal="center"/>
    </xf>
    <xf numFmtId="0" fontId="56" fillId="0" borderId="10" xfId="0" applyFont="1" applyBorder="1"/>
    <xf numFmtId="0" fontId="56" fillId="0" borderId="10" xfId="0" applyFont="1" applyBorder="1" applyAlignment="1">
      <alignment horizontal="center"/>
    </xf>
    <xf numFmtId="2" fontId="56" fillId="0" borderId="10" xfId="0" applyNumberFormat="1" applyFont="1" applyBorder="1" applyAlignment="1">
      <alignment horizontal="center"/>
    </xf>
    <xf numFmtId="10" fontId="56" fillId="0" borderId="10" xfId="0" applyNumberFormat="1" applyFont="1" applyBorder="1" applyAlignment="1">
      <alignment horizontal="center"/>
    </xf>
    <xf numFmtId="0" fontId="72" fillId="0" borderId="0" xfId="0" applyFont="1" applyAlignment="1">
      <alignment horizontal="center"/>
    </xf>
    <xf numFmtId="0" fontId="0" fillId="0" borderId="0" xfId="0" applyFill="1" applyBorder="1" applyAlignment="1"/>
    <xf numFmtId="173" fontId="0" fillId="0" borderId="0" xfId="0" applyNumberFormat="1" applyFill="1" applyBorder="1" applyAlignment="1"/>
    <xf numFmtId="9" fontId="0" fillId="0" borderId="0" xfId="0" applyNumberFormat="1" applyFill="1" applyBorder="1" applyAlignment="1"/>
    <xf numFmtId="185" fontId="0" fillId="0" borderId="0" xfId="0" applyNumberFormat="1" applyFill="1" applyBorder="1" applyAlignment="1"/>
    <xf numFmtId="10" fontId="0" fillId="0" borderId="0" xfId="0" applyNumberFormat="1" applyFill="1" applyBorder="1" applyAlignment="1"/>
    <xf numFmtId="177" fontId="0" fillId="0" borderId="0" xfId="0" applyNumberFormat="1" applyFill="1" applyBorder="1" applyAlignment="1"/>
    <xf numFmtId="0" fontId="0" fillId="0" borderId="8" xfId="0" applyFill="1" applyBorder="1" applyAlignment="1"/>
    <xf numFmtId="0" fontId="73" fillId="9" borderId="3" xfId="0" applyFont="1" applyFill="1" applyBorder="1" applyAlignment="1">
      <alignment horizontal="right"/>
    </xf>
    <xf numFmtId="0" fontId="73" fillId="9" borderId="7" xfId="0" applyFont="1" applyFill="1" applyBorder="1" applyAlignment="1">
      <alignment horizontal="right"/>
    </xf>
    <xf numFmtId="173" fontId="0" fillId="10" borderId="0" xfId="0" applyNumberFormat="1" applyFill="1" applyBorder="1" applyAlignment="1"/>
    <xf numFmtId="9" fontId="0" fillId="10" borderId="0" xfId="0" applyNumberFormat="1" applyFill="1" applyBorder="1" applyAlignment="1"/>
    <xf numFmtId="185" fontId="0" fillId="10" borderId="0" xfId="0" applyNumberFormat="1" applyFill="1" applyBorder="1" applyAlignment="1"/>
    <xf numFmtId="10" fontId="0" fillId="10" borderId="0" xfId="0" applyNumberFormat="1" applyFill="1" applyBorder="1" applyAlignment="1"/>
    <xf numFmtId="177" fontId="0" fillId="10" borderId="0" xfId="0" applyNumberFormat="1" applyFill="1" applyBorder="1" applyAlignment="1"/>
    <xf numFmtId="0" fontId="2" fillId="0" borderId="0" xfId="0" applyFont="1" applyFill="1" applyBorder="1" applyAlignment="1">
      <alignment vertical="top" wrapText="1"/>
    </xf>
    <xf numFmtId="171" fontId="0" fillId="0" borderId="0" xfId="0" applyNumberFormat="1" applyFill="1" applyBorder="1" applyAlignment="1"/>
    <xf numFmtId="181" fontId="0" fillId="0" borderId="17" xfId="0" applyNumberFormat="1" applyFill="1" applyBorder="1" applyAlignment="1"/>
    <xf numFmtId="201" fontId="3" fillId="0" borderId="0" xfId="11" quotePrefix="1" applyNumberFormat="1" applyAlignment="1" applyProtection="1"/>
    <xf numFmtId="0" fontId="41" fillId="0" borderId="10" xfId="0" applyFont="1" applyBorder="1" applyAlignment="1">
      <alignment horizontal="justify"/>
    </xf>
    <xf numFmtId="0" fontId="41" fillId="0" borderId="18" xfId="0" applyFont="1" applyBorder="1" applyAlignment="1">
      <alignment horizontal="justify"/>
    </xf>
    <xf numFmtId="0" fontId="41" fillId="0" borderId="11" xfId="0" applyFont="1" applyBorder="1" applyAlignment="1">
      <alignment horizontal="justify"/>
    </xf>
    <xf numFmtId="173" fontId="41" fillId="0" borderId="11" xfId="13" applyNumberFormat="1" applyFont="1" applyBorder="1" applyAlignment="1">
      <alignment horizontal="justify"/>
    </xf>
    <xf numFmtId="0" fontId="41" fillId="0" borderId="9" xfId="0" applyFont="1" applyBorder="1" applyAlignment="1">
      <alignment horizontal="justify"/>
    </xf>
    <xf numFmtId="173" fontId="41" fillId="0" borderId="9" xfId="13" applyNumberFormat="1" applyFont="1" applyBorder="1" applyAlignment="1">
      <alignment horizontal="justify"/>
    </xf>
    <xf numFmtId="0" fontId="41" fillId="0" borderId="13" xfId="0" applyFont="1" applyBorder="1" applyAlignment="1">
      <alignment horizontal="justify"/>
    </xf>
    <xf numFmtId="173" fontId="41" fillId="0" borderId="13" xfId="13" applyNumberFormat="1" applyFont="1" applyBorder="1" applyAlignment="1">
      <alignment horizontal="justify"/>
    </xf>
    <xf numFmtId="0" fontId="41" fillId="0" borderId="1" xfId="0" applyFont="1" applyBorder="1" applyAlignment="1">
      <alignment horizontal="justify"/>
    </xf>
    <xf numFmtId="173" fontId="41" fillId="0" borderId="18" xfId="0" applyNumberFormat="1" applyFont="1" applyBorder="1" applyAlignment="1">
      <alignment horizontal="justify"/>
    </xf>
    <xf numFmtId="173" fontId="41" fillId="0" borderId="1" xfId="13" applyNumberFormat="1" applyFont="1" applyBorder="1" applyAlignment="1">
      <alignment horizontal="justify"/>
    </xf>
    <xf numFmtId="173" fontId="41" fillId="0" borderId="10" xfId="13" applyNumberFormat="1" applyFont="1" applyBorder="1" applyAlignment="1">
      <alignment horizontal="justify"/>
    </xf>
    <xf numFmtId="10" fontId="7" fillId="0" borderId="10" xfId="28" applyNumberFormat="1" applyFont="1" applyBorder="1"/>
    <xf numFmtId="0" fontId="7" fillId="0" borderId="1" xfId="0" applyFont="1" applyBorder="1"/>
    <xf numFmtId="10" fontId="7" fillId="0" borderId="18" xfId="0" applyNumberFormat="1" applyFont="1" applyBorder="1"/>
    <xf numFmtId="0" fontId="13" fillId="12" borderId="0" xfId="0" applyFont="1" applyFill="1"/>
    <xf numFmtId="0" fontId="0" fillId="12" borderId="0" xfId="0" applyFill="1"/>
    <xf numFmtId="0" fontId="13" fillId="12" borderId="1" xfId="0" applyFont="1" applyFill="1" applyBorder="1"/>
    <xf numFmtId="173" fontId="0" fillId="12" borderId="8" xfId="0" applyNumberFormat="1" applyFill="1" applyBorder="1"/>
    <xf numFmtId="0" fontId="0" fillId="12" borderId="18" xfId="0" applyFill="1" applyBorder="1"/>
    <xf numFmtId="181" fontId="74" fillId="12" borderId="0" xfId="15" applyNumberFormat="1" applyFont="1" applyFill="1"/>
    <xf numFmtId="181" fontId="7" fillId="12" borderId="0" xfId="15" applyNumberFormat="1" applyFont="1" applyFill="1"/>
    <xf numFmtId="0" fontId="25" fillId="0" borderId="0" xfId="0" applyFont="1"/>
    <xf numFmtId="181" fontId="7" fillId="12" borderId="0" xfId="0" applyNumberFormat="1" applyFont="1" applyFill="1"/>
    <xf numFmtId="173" fontId="74" fillId="0" borderId="0" xfId="13" applyNumberFormat="1" applyFont="1" applyFill="1"/>
    <xf numFmtId="0" fontId="0" fillId="0" borderId="0" xfId="0" applyFill="1"/>
    <xf numFmtId="0" fontId="18" fillId="13" borderId="0" xfId="0" applyFont="1" applyFill="1"/>
    <xf numFmtId="181" fontId="80" fillId="13" borderId="0" xfId="15" applyNumberFormat="1" applyFont="1" applyFill="1"/>
    <xf numFmtId="0" fontId="79" fillId="0" borderId="19" xfId="21" applyBorder="1"/>
    <xf numFmtId="0" fontId="79" fillId="0" borderId="0" xfId="21" applyAlignment="1">
      <alignment horizontal="centerContinuous"/>
    </xf>
    <xf numFmtId="0" fontId="79" fillId="0" borderId="19" xfId="21" applyBorder="1" applyAlignment="1">
      <alignment horizontal="centerContinuous"/>
    </xf>
    <xf numFmtId="0" fontId="79" fillId="0" borderId="0" xfId="21"/>
    <xf numFmtId="0" fontId="81" fillId="0" borderId="20" xfId="21" applyFont="1" applyFill="1" applyBorder="1" applyAlignment="1">
      <alignment horizontal="center"/>
    </xf>
    <xf numFmtId="180" fontId="81" fillId="0" borderId="21" xfId="21" applyNumberFormat="1" applyFont="1" applyFill="1" applyBorder="1" applyAlignment="1">
      <alignment horizontal="center"/>
    </xf>
    <xf numFmtId="180" fontId="81" fillId="0" borderId="20" xfId="21" applyNumberFormat="1" applyFont="1" applyFill="1" applyBorder="1" applyAlignment="1">
      <alignment horizontal="center"/>
    </xf>
    <xf numFmtId="0" fontId="79" fillId="0" borderId="19" xfId="21" applyFill="1" applyBorder="1" applyAlignment="1"/>
    <xf numFmtId="173" fontId="79" fillId="0" borderId="0" xfId="21" applyNumberFormat="1" applyFill="1" applyBorder="1" applyAlignment="1"/>
    <xf numFmtId="173" fontId="79" fillId="0" borderId="19" xfId="21" applyNumberFormat="1" applyFill="1" applyBorder="1" applyAlignment="1"/>
    <xf numFmtId="173" fontId="79" fillId="0" borderId="0" xfId="21" applyNumberFormat="1"/>
    <xf numFmtId="0" fontId="79" fillId="0" borderId="22" xfId="21" applyFill="1" applyBorder="1" applyAlignment="1"/>
    <xf numFmtId="173" fontId="79" fillId="0" borderId="17" xfId="21" applyNumberFormat="1" applyFill="1" applyBorder="1" applyAlignment="1"/>
    <xf numFmtId="173" fontId="79" fillId="0" borderId="22" xfId="21" applyNumberFormat="1" applyFill="1" applyBorder="1" applyAlignment="1"/>
    <xf numFmtId="0" fontId="81" fillId="0" borderId="21" xfId="21" applyFont="1" applyFill="1" applyBorder="1" applyAlignment="1">
      <alignment horizontal="center"/>
    </xf>
    <xf numFmtId="9" fontId="79" fillId="0" borderId="0" xfId="21" applyNumberFormat="1" applyFill="1" applyBorder="1" applyAlignment="1"/>
    <xf numFmtId="9" fontId="79" fillId="0" borderId="19" xfId="21" applyNumberFormat="1" applyFill="1" applyBorder="1" applyAlignment="1"/>
    <xf numFmtId="177" fontId="79" fillId="0" borderId="0" xfId="21" applyNumberFormat="1" applyFill="1" applyBorder="1" applyAlignment="1"/>
    <xf numFmtId="177" fontId="79" fillId="0" borderId="19" xfId="21" applyNumberFormat="1" applyFill="1" applyBorder="1" applyAlignment="1"/>
    <xf numFmtId="10" fontId="79" fillId="0" borderId="0" xfId="21" applyNumberFormat="1" applyFill="1" applyBorder="1" applyAlignment="1"/>
    <xf numFmtId="10" fontId="79" fillId="0" borderId="19" xfId="21" applyNumberFormat="1" applyFill="1" applyBorder="1" applyAlignment="1"/>
    <xf numFmtId="185" fontId="79" fillId="0" borderId="17" xfId="21" applyNumberFormat="1" applyFill="1" applyBorder="1" applyAlignment="1"/>
    <xf numFmtId="185" fontId="79" fillId="0" borderId="22" xfId="21" applyNumberFormat="1" applyFill="1" applyBorder="1" applyAlignment="1"/>
    <xf numFmtId="0" fontId="37" fillId="0" borderId="0" xfId="22"/>
    <xf numFmtId="205" fontId="37" fillId="0" borderId="0" xfId="22" applyNumberFormat="1"/>
    <xf numFmtId="0" fontId="75" fillId="0" borderId="0" xfId="22" applyFont="1" applyAlignment="1">
      <alignment horizontal="center"/>
    </xf>
    <xf numFmtId="0" fontId="37" fillId="0" borderId="0" xfId="22" applyAlignment="1">
      <alignment horizontal="right" vertical="top"/>
    </xf>
    <xf numFmtId="0" fontId="37" fillId="0" borderId="0" xfId="22" applyAlignment="1">
      <alignment horizontal="center"/>
    </xf>
    <xf numFmtId="9" fontId="37" fillId="0" borderId="0" xfId="22" applyNumberFormat="1"/>
    <xf numFmtId="2" fontId="37" fillId="0" borderId="0" xfId="22" applyNumberFormat="1"/>
    <xf numFmtId="177" fontId="37" fillId="0" borderId="0" xfId="22" applyNumberFormat="1"/>
    <xf numFmtId="206" fontId="37" fillId="0" borderId="0" xfId="22" applyNumberFormat="1"/>
    <xf numFmtId="10" fontId="37" fillId="0" borderId="0" xfId="22" applyNumberFormat="1"/>
    <xf numFmtId="0" fontId="75" fillId="0" borderId="0" xfId="22" applyFont="1"/>
    <xf numFmtId="0" fontId="75" fillId="0" borderId="0" xfId="22" applyFont="1" applyAlignment="1">
      <alignment horizontal="right" vertical="top"/>
    </xf>
    <xf numFmtId="9" fontId="37" fillId="0" borderId="0" xfId="22" applyNumberFormat="1" applyAlignment="1">
      <alignment horizontal="right"/>
    </xf>
    <xf numFmtId="0" fontId="37" fillId="0" borderId="0" xfId="22" applyAlignment="1">
      <alignment horizontal="right"/>
    </xf>
    <xf numFmtId="177" fontId="37" fillId="0" borderId="0" xfId="22" applyNumberFormat="1" applyAlignment="1">
      <alignment horizontal="right"/>
    </xf>
    <xf numFmtId="206" fontId="37" fillId="0" borderId="0" xfId="22" applyNumberFormat="1" applyAlignment="1">
      <alignment horizontal="right"/>
    </xf>
    <xf numFmtId="10" fontId="37" fillId="0" borderId="0" xfId="22" applyNumberFormat="1" applyAlignment="1">
      <alignment horizontal="right"/>
    </xf>
    <xf numFmtId="207" fontId="37" fillId="0" borderId="0" xfId="22" applyNumberFormat="1"/>
    <xf numFmtId="185" fontId="37" fillId="0" borderId="0" xfId="22" applyNumberFormat="1"/>
    <xf numFmtId="0" fontId="76" fillId="9" borderId="7" xfId="0" applyFont="1" applyFill="1" applyBorder="1" applyAlignment="1">
      <alignment horizontal="left"/>
    </xf>
    <xf numFmtId="0" fontId="76" fillId="9" borderId="3" xfId="0" applyFont="1" applyFill="1" applyBorder="1" applyAlignment="1">
      <alignment horizontal="left"/>
    </xf>
    <xf numFmtId="0" fontId="77" fillId="11" borderId="0" xfId="0" applyFont="1" applyFill="1" applyBorder="1" applyAlignment="1">
      <alignment horizontal="left"/>
    </xf>
    <xf numFmtId="0" fontId="78" fillId="11" borderId="8" xfId="0" applyFont="1" applyFill="1" applyBorder="1" applyAlignment="1">
      <alignment horizontal="left"/>
    </xf>
    <xf numFmtId="0" fontId="77" fillId="11" borderId="17" xfId="0" applyFont="1" applyFill="1" applyBorder="1" applyAlignment="1">
      <alignment horizontal="left"/>
    </xf>
  </cellXfs>
  <cellStyles count="40">
    <cellStyle name="AcNote" xfId="1"/>
    <cellStyle name="Comma [0]_BUBBLE1" xfId="2"/>
    <cellStyle name="Comma_4 Panel" xfId="3"/>
    <cellStyle name="Currency (B)" xfId="4"/>
    <cellStyle name="Currency [0]_BUBBLE1" xfId="5"/>
    <cellStyle name="Currency_4 Panel" xfId="6"/>
    <cellStyle name="doblebase" xfId="7"/>
    <cellStyle name="DOH" xfId="8"/>
    <cellStyle name="Euro" xfId="9"/>
    <cellStyle name="Header" xfId="10"/>
    <cellStyle name="Hipervínculo" xfId="11" builtinId="8"/>
    <cellStyle name="Inputs" xfId="12"/>
    <cellStyle name="Millares" xfId="13" builtinId="3"/>
    <cellStyle name="Millares_Beta Cualitativo" xfId="14"/>
    <cellStyle name="Moneda" xfId="15" builtinId="4"/>
    <cellStyle name="Name" xfId="16"/>
    <cellStyle name="NewAcct" xfId="17"/>
    <cellStyle name="No-definido" xfId="18"/>
    <cellStyle name="Normal" xfId="0" builtinId="0"/>
    <cellStyle name="Normal (B)" xfId="19"/>
    <cellStyle name="Normal (G)" xfId="20"/>
    <cellStyle name="Normal 2" xfId="21"/>
    <cellStyle name="Normal 3" xfId="22"/>
    <cellStyle name="Normal_betas" xfId="23"/>
    <cellStyle name="Normal_Planeación 39" xfId="24"/>
    <cellStyle name="Percent (M)" xfId="25"/>
    <cellStyle name="Percent_4 Panel" xfId="26"/>
    <cellStyle name="PlainDollar" xfId="27"/>
    <cellStyle name="Porcentual" xfId="28" builtinId="5"/>
    <cellStyle name="ScratchPad" xfId="29"/>
    <cellStyle name="SSComma0" xfId="30"/>
    <cellStyle name="SSComma2" xfId="31"/>
    <cellStyle name="SSDecs3" xfId="32"/>
    <cellStyle name="SSDflt" xfId="33"/>
    <cellStyle name="SSDfltPct" xfId="34"/>
    <cellStyle name="SSDfltPct0" xfId="35"/>
    <cellStyle name="SSFixed2" xfId="36"/>
    <cellStyle name="Text" xfId="37"/>
    <cellStyle name="UnderLine" xfId="38"/>
    <cellStyle name="years" xfId="39"/>
  </cellStyles>
  <dxfs count="12">
    <dxf>
      <fill>
        <patternFill>
          <bgColor indexed="14"/>
        </patternFill>
      </fill>
    </dxf>
    <dxf>
      <font>
        <b/>
        <i val="0"/>
        <condense val="0"/>
        <extend val="0"/>
        <color indexed="10"/>
      </font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0"/>
      </font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0"/>
      </font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b/>
        <i val="0"/>
        <condense val="0"/>
        <extend val="0"/>
        <color indexed="10"/>
      </font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openxmlformats.org/officeDocument/2006/relationships/externalLink" Target="externalLinks/externalLink12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34" Type="http://schemas.openxmlformats.org/officeDocument/2006/relationships/externalLink" Target="externalLinks/externalLink20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19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29" Type="http://schemas.openxmlformats.org/officeDocument/2006/relationships/externalLink" Target="externalLinks/externalLink15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18.xml"/><Relationship Id="rId37" Type="http://schemas.openxmlformats.org/officeDocument/2006/relationships/externalLink" Target="externalLinks/externalLink23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externalLink" Target="externalLinks/externalLink9.xml"/><Relationship Id="rId28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22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31" Type="http://schemas.openxmlformats.org/officeDocument/2006/relationships/externalLink" Target="externalLinks/externalLink1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8.xml"/><Relationship Id="rId27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16.xml"/><Relationship Id="rId35" Type="http://schemas.openxmlformats.org/officeDocument/2006/relationships/externalLink" Target="externalLinks/externalLink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ES"/>
              <a:t>VALOR PATRIMONIAL MVA</a:t>
            </a:r>
          </a:p>
        </c:rich>
      </c:tx>
      <c:layout/>
    </c:title>
    <c:plotArea>
      <c:layout/>
      <c:barChart>
        <c:barDir val="bar"/>
        <c:grouping val="clustered"/>
        <c:ser>
          <c:idx val="0"/>
          <c:order val="0"/>
          <c:tx>
            <c:strRef>
              <c:f>Tornado!$B$43</c:f>
              <c:strCache>
                <c:ptCount val="1"/>
                <c:pt idx="0">
                  <c:v>Minimum</c:v>
                </c:pt>
              </c:strCache>
            </c:strRef>
          </c:tx>
          <c:spPr>
            <a:solidFill>
              <a:srgbClr val="0066CC"/>
            </a:solidFill>
          </c:spP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s-ES"/>
                      <a:t>     743,690 </a:t>
                    </a:r>
                  </a:p>
                </c:rich>
              </c:tx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s-ES"/>
                      <a:t>62%</a:t>
                    </a:r>
                  </a:p>
                </c:rich>
              </c:tx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s-ES"/>
                      <a:t>67 días</a:t>
                    </a:r>
                  </a:p>
                </c:rich>
              </c:tx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s-ES"/>
                      <a:t>63 días</a:t>
                    </a:r>
                  </a:p>
                </c:rich>
              </c:tx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s-ES"/>
                      <a:t>6%</a:t>
                    </a:r>
                  </a:p>
                </c:rich>
              </c:tx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s-ES"/>
                      <a:t>     300,000 </a:t>
                    </a:r>
                  </a:p>
                </c:rich>
              </c:tx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s-ES"/>
                      <a:t>     102,500 </a:t>
                    </a:r>
                  </a:p>
                </c:rich>
              </c:tx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es-ES"/>
                      <a:t>4%</a:t>
                    </a:r>
                  </a:p>
                </c:rich>
              </c:tx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es-ES"/>
                      <a:t>18.46%</a:t>
                    </a:r>
                  </a:p>
                </c:rich>
              </c:tx>
            </c:dLbl>
            <c:dLbl>
              <c:idx val="9"/>
              <c:layout/>
              <c:tx>
                <c:rich>
                  <a:bodyPr/>
                  <a:lstStyle/>
                  <a:p>
                    <a:r>
                      <a:rPr lang="es-ES"/>
                      <a:t>4.00 veces</a:t>
                    </a:r>
                  </a:p>
                </c:rich>
              </c:tx>
            </c:dLbl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ES"/>
              </a:p>
            </c:txPr>
            <c:showVal val="1"/>
          </c:dLbls>
          <c:cat>
            <c:strRef>
              <c:f>Tornado!$A$44:$A$53</c:f>
              <c:strCache>
                <c:ptCount val="10"/>
                <c:pt idx="0">
                  <c:v>Ventas</c:v>
                </c:pt>
                <c:pt idx="1">
                  <c:v>Costo de Ventas</c:v>
                </c:pt>
                <c:pt idx="2">
                  <c:v>Días Plazo Cartera</c:v>
                </c:pt>
                <c:pt idx="3">
                  <c:v>Días Plazo Pago Proveedores</c:v>
                </c:pt>
                <c:pt idx="4">
                  <c:v>Gastos de Ventas</c:v>
                </c:pt>
                <c:pt idx="5">
                  <c:v>Inversiones en Activos Fijos</c:v>
                </c:pt>
                <c:pt idx="6">
                  <c:v>Gastos de Administración</c:v>
                </c:pt>
                <c:pt idx="7">
                  <c:v>Relación Pago ( % distr. Dividendos)</c:v>
                </c:pt>
                <c:pt idx="8">
                  <c:v>Tasa de Interés Nominal</c:v>
                </c:pt>
                <c:pt idx="9">
                  <c:v>Rotación de Inventarios</c:v>
                </c:pt>
              </c:strCache>
            </c:strRef>
          </c:cat>
          <c:val>
            <c:numRef>
              <c:f>Tornado!$B$44:$B$53</c:f>
              <c:numCache>
                <c:formatCode>_ * #,##0_ ;_ * \-#,##0_ ;_ * "-"??_ ;_ @_ </c:formatCode>
                <c:ptCount val="10"/>
                <c:pt idx="0">
                  <c:v>446096.76472594682</c:v>
                </c:pt>
                <c:pt idx="1">
                  <c:v>592006.38468757854</c:v>
                </c:pt>
                <c:pt idx="2">
                  <c:v>700316.00862869038</c:v>
                </c:pt>
                <c:pt idx="3">
                  <c:v>681987.64467741339</c:v>
                </c:pt>
                <c:pt idx="4">
                  <c:v>741710.39491797576</c:v>
                </c:pt>
                <c:pt idx="5">
                  <c:v>696939.98484459519</c:v>
                </c:pt>
                <c:pt idx="6">
                  <c:v>725980.7326194772</c:v>
                </c:pt>
                <c:pt idx="7">
                  <c:v>706912.9619053296</c:v>
                </c:pt>
                <c:pt idx="8">
                  <c:v>704109.92912342947</c:v>
                </c:pt>
                <c:pt idx="9">
                  <c:v>707042.20133440499</c:v>
                </c:pt>
              </c:numCache>
            </c:numRef>
          </c:val>
        </c:ser>
        <c:ser>
          <c:idx val="1"/>
          <c:order val="1"/>
          <c:tx>
            <c:strRef>
              <c:f>Tornado!$C$43</c:f>
              <c:strCache>
                <c:ptCount val="1"/>
                <c:pt idx="0">
                  <c:v>Maximum</c:v>
                </c:pt>
              </c:strCache>
            </c:strRef>
          </c:tx>
          <c:spPr>
            <a:solidFill>
              <a:srgbClr val="0066CC"/>
            </a:solidFill>
          </c:spP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s-ES"/>
                      <a:t>   1,256,310 </a:t>
                    </a:r>
                  </a:p>
                </c:rich>
              </c:tx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s-ES"/>
                      <a:t>57%</a:t>
                    </a:r>
                  </a:p>
                </c:rich>
              </c:tx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s-ES"/>
                      <a:t>42 días</a:t>
                    </a:r>
                  </a:p>
                </c:rich>
              </c:tx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s-ES"/>
                      <a:t>87 días</a:t>
                    </a:r>
                  </a:p>
                </c:rich>
              </c:tx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s-ES"/>
                      <a:t>3%</a:t>
                    </a:r>
                  </a:p>
                </c:rich>
              </c:tx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es-ES"/>
                      <a:t>      220,000 </a:t>
                    </a:r>
                  </a:p>
                </c:rich>
              </c:tx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s-ES"/>
                      <a:t>         82,500 </a:t>
                    </a:r>
                  </a:p>
                </c:rich>
              </c:tx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es-ES"/>
                      <a:t>36%</a:t>
                    </a:r>
                  </a:p>
                </c:rich>
              </c:tx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es-ES"/>
                      <a:t>11.27%</a:t>
                    </a:r>
                  </a:p>
                </c:rich>
              </c:tx>
            </c:dLbl>
            <c:dLbl>
              <c:idx val="9"/>
              <c:layout/>
              <c:tx>
                <c:rich>
                  <a:bodyPr/>
                  <a:lstStyle/>
                  <a:p>
                    <a:r>
                      <a:rPr lang="es-ES"/>
                      <a:t>6.00 veces</a:t>
                    </a:r>
                  </a:p>
                </c:rich>
              </c:tx>
            </c:dLbl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ES"/>
              </a:p>
            </c:txPr>
            <c:showVal val="1"/>
          </c:dLbls>
          <c:cat>
            <c:strRef>
              <c:f>Tornado!$A$44:$A$53</c:f>
              <c:strCache>
                <c:ptCount val="10"/>
                <c:pt idx="0">
                  <c:v>Ventas</c:v>
                </c:pt>
                <c:pt idx="1">
                  <c:v>Costo de Ventas</c:v>
                </c:pt>
                <c:pt idx="2">
                  <c:v>Días Plazo Cartera</c:v>
                </c:pt>
                <c:pt idx="3">
                  <c:v>Días Plazo Pago Proveedores</c:v>
                </c:pt>
                <c:pt idx="4">
                  <c:v>Gastos de Ventas</c:v>
                </c:pt>
                <c:pt idx="5">
                  <c:v>Inversiones en Activos Fijos</c:v>
                </c:pt>
                <c:pt idx="6">
                  <c:v>Gastos de Administración</c:v>
                </c:pt>
                <c:pt idx="7">
                  <c:v>Relación Pago ( % distr. Dividendos)</c:v>
                </c:pt>
                <c:pt idx="8">
                  <c:v>Tasa de Interés Nominal</c:v>
                </c:pt>
                <c:pt idx="9">
                  <c:v>Rotación de Inventarios</c:v>
                </c:pt>
              </c:strCache>
            </c:strRef>
          </c:cat>
          <c:val>
            <c:numRef>
              <c:f>Tornado!$C$44:$C$53</c:f>
              <c:numCache>
                <c:formatCode>_ * #,##0_ ;_ * \-#,##0_ ;_ * "-"??_ ;_ @_ </c:formatCode>
                <c:ptCount val="10"/>
                <c:pt idx="0">
                  <c:v>1017457.7846194165</c:v>
                </c:pt>
                <c:pt idx="1">
                  <c:v>771718.17705316341</c:v>
                </c:pt>
                <c:pt idx="2">
                  <c:v>815730.78800521209</c:v>
                </c:pt>
                <c:pt idx="3">
                  <c:v>780669.20735383919</c:v>
                </c:pt>
                <c:pt idx="4">
                  <c:v>825319.12422225648</c:v>
                </c:pt>
                <c:pt idx="5">
                  <c:v>752038.04673735471</c:v>
                </c:pt>
                <c:pt idx="6">
                  <c:v>768246.22104579816</c:v>
                </c:pt>
                <c:pt idx="7">
                  <c:v>738060.58834920416</c:v>
                </c:pt>
                <c:pt idx="8">
                  <c:v>734167.95576231473</c:v>
                </c:pt>
                <c:pt idx="9">
                  <c:v>731261.44336421171</c:v>
                </c:pt>
              </c:numCache>
            </c:numRef>
          </c:val>
        </c:ser>
        <c:gapWidth val="100"/>
        <c:overlap val="100"/>
        <c:axId val="217250048"/>
        <c:axId val="218333568"/>
      </c:barChart>
      <c:catAx>
        <c:axId val="217250048"/>
        <c:scaling>
          <c:orientation val="maxMin"/>
        </c:scaling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rich>
          </c:tx>
          <c:layout/>
        </c:title>
        <c:numFmt formatCode="General" sourceLinked="1"/>
        <c:tickLblPos val="low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218333568"/>
        <c:crossesAt val="731261.44336421194"/>
        <c:auto val="1"/>
        <c:lblAlgn val="ctr"/>
        <c:lblOffset val="100"/>
      </c:catAx>
      <c:valAx>
        <c:axId val="218333568"/>
        <c:scaling>
          <c:orientation val="minMax"/>
          <c:max val="1200000.0000000023"/>
          <c:min val="200000.00000000041"/>
        </c:scaling>
        <c:axPos val="t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rich>
          </c:tx>
          <c:layout/>
        </c:title>
        <c:numFmt formatCode="_ * #,##0_ ;_ * \-#,##0_ ;_ * &quot;-&quot;??_ ;_ @_ 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217250048"/>
        <c:crosses val="autoZero"/>
        <c:crossBetween val="between"/>
        <c:majorUnit val="200000.00000000041"/>
      </c:valAx>
      <c:spPr>
        <a:solidFill>
          <a:srgbClr val="FFFFCC"/>
        </a:solidFill>
        <a:ln w="25400">
          <a:solidFill>
            <a:srgbClr val="000000"/>
          </a:solidFill>
          <a:prstDash val="solid"/>
        </a:ln>
      </c:spPr>
    </c:plotArea>
    <c:legend>
      <c:legendPos val="r"/>
      <c:layout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ES"/>
        </a:p>
      </c:txPr>
    </c:legend>
    <c:plotVisOnly val="1"/>
    <c:dispBlanksAs val="gap"/>
  </c:chart>
  <c:spPr>
    <a:solidFill>
      <a:srgbClr val="DFDFDF"/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s-ES"/>
              <a:t>VALOR PATRIMONIAL MVA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Spider!$A$25</c:f>
              <c:strCache>
                <c:ptCount val="1"/>
                <c:pt idx="0">
                  <c:v>Ventas</c:v>
                </c:pt>
              </c:strCache>
            </c:strRef>
          </c:tx>
          <c:cat>
            <c:numRef>
              <c:f>Spider!$B$24:$F$24</c:f>
              <c:numCache>
                <c:formatCode>0.0%</c:formatCode>
                <c:ptCount val="5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cat>
          <c:val>
            <c:numRef>
              <c:f>Spider!$B$25:$F$25</c:f>
              <c:numCache>
                <c:formatCode>_ * #,##0_ ;_ * \-#,##0_ ;_ * "-"??_ ;_ @_ </c:formatCode>
                <c:ptCount val="5"/>
                <c:pt idx="0">
                  <c:v>446096.76472594682</c:v>
                </c:pt>
                <c:pt idx="1">
                  <c:v>614406.32440101146</c:v>
                </c:pt>
                <c:pt idx="2">
                  <c:v>731261.44336421171</c:v>
                </c:pt>
                <c:pt idx="3">
                  <c:v>848281.96323807398</c:v>
                </c:pt>
                <c:pt idx="4">
                  <c:v>1017457.7846194165</c:v>
                </c:pt>
              </c:numCache>
            </c:numRef>
          </c:val>
        </c:ser>
        <c:ser>
          <c:idx val="1"/>
          <c:order val="1"/>
          <c:tx>
            <c:strRef>
              <c:f>Spider!$A$26</c:f>
              <c:strCache>
                <c:ptCount val="1"/>
                <c:pt idx="0">
                  <c:v>Costo de Ventas</c:v>
                </c:pt>
              </c:strCache>
            </c:strRef>
          </c:tx>
          <c:cat>
            <c:numRef>
              <c:f>Spider!$B$24:$F$24</c:f>
              <c:numCache>
                <c:formatCode>0.0%</c:formatCode>
                <c:ptCount val="5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cat>
          <c:val>
            <c:numRef>
              <c:f>Spider!$B$26:$F$26</c:f>
              <c:numCache>
                <c:formatCode>_ * #,##0_ ;_ * \-#,##0_ ;_ * "-"??_ ;_ @_ </c:formatCode>
                <c:ptCount val="5"/>
                <c:pt idx="0">
                  <c:v>771718.17705316341</c:v>
                </c:pt>
                <c:pt idx="1">
                  <c:v>731261.44336421171</c:v>
                </c:pt>
                <c:pt idx="2">
                  <c:v>696645.77540490241</c:v>
                </c:pt>
                <c:pt idx="3">
                  <c:v>654016.69402430137</c:v>
                </c:pt>
                <c:pt idx="4">
                  <c:v>592006.38468757854</c:v>
                </c:pt>
              </c:numCache>
            </c:numRef>
          </c:val>
        </c:ser>
        <c:ser>
          <c:idx val="2"/>
          <c:order val="2"/>
          <c:tx>
            <c:strRef>
              <c:f>Spider!$A$27</c:f>
              <c:strCache>
                <c:ptCount val="1"/>
                <c:pt idx="0">
                  <c:v>Días Plazo Cartera</c:v>
                </c:pt>
              </c:strCache>
            </c:strRef>
          </c:tx>
          <c:cat>
            <c:numRef>
              <c:f>Spider!$B$24:$F$24</c:f>
              <c:numCache>
                <c:formatCode>0.0%</c:formatCode>
                <c:ptCount val="5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cat>
          <c:val>
            <c:numRef>
              <c:f>Spider!$B$27:$F$27</c:f>
              <c:numCache>
                <c:formatCode>_ * #,##0_ ;_ * \-#,##0_ ;_ * "-"??_ ;_ @_ </c:formatCode>
                <c:ptCount val="5"/>
                <c:pt idx="0">
                  <c:v>815730.78800521209</c:v>
                </c:pt>
                <c:pt idx="1">
                  <c:v>776523.66014703608</c:v>
                </c:pt>
                <c:pt idx="2">
                  <c:v>749650.94334766443</c:v>
                </c:pt>
                <c:pt idx="3">
                  <c:v>727744.39769127558</c:v>
                </c:pt>
                <c:pt idx="4">
                  <c:v>700316.00862869038</c:v>
                </c:pt>
              </c:numCache>
            </c:numRef>
          </c:val>
        </c:ser>
        <c:ser>
          <c:idx val="3"/>
          <c:order val="3"/>
          <c:tx>
            <c:strRef>
              <c:f>Spider!$A$28</c:f>
              <c:strCache>
                <c:ptCount val="1"/>
                <c:pt idx="0">
                  <c:v>Días Plazo Pago Proveedores</c:v>
                </c:pt>
              </c:strCache>
            </c:strRef>
          </c:tx>
          <c:cat>
            <c:numRef>
              <c:f>Spider!$B$24:$F$24</c:f>
              <c:numCache>
                <c:formatCode>0.0%</c:formatCode>
                <c:ptCount val="5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cat>
          <c:val>
            <c:numRef>
              <c:f>Spider!$B$28:$F$28</c:f>
              <c:numCache>
                <c:formatCode>_ * #,##0_ ;_ * \-#,##0_ ;_ * "-"??_ ;_ @_ </c:formatCode>
                <c:ptCount val="5"/>
                <c:pt idx="0">
                  <c:v>681987.64467741339</c:v>
                </c:pt>
                <c:pt idx="1">
                  <c:v>706607.67010250106</c:v>
                </c:pt>
                <c:pt idx="2">
                  <c:v>731261.44336421171</c:v>
                </c:pt>
                <c:pt idx="3">
                  <c:v>755948.70635210862</c:v>
                </c:pt>
                <c:pt idx="4">
                  <c:v>780669.20735383919</c:v>
                </c:pt>
              </c:numCache>
            </c:numRef>
          </c:val>
        </c:ser>
        <c:ser>
          <c:idx val="4"/>
          <c:order val="4"/>
          <c:tx>
            <c:strRef>
              <c:f>Spider!$A$29</c:f>
              <c:strCache>
                <c:ptCount val="1"/>
                <c:pt idx="0">
                  <c:v>Gastos de Ventas</c:v>
                </c:pt>
              </c:strCache>
            </c:strRef>
          </c:tx>
          <c:cat>
            <c:numRef>
              <c:f>Spider!$B$24:$F$24</c:f>
              <c:numCache>
                <c:formatCode>0.0%</c:formatCode>
                <c:ptCount val="5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cat>
          <c:val>
            <c:numRef>
              <c:f>Spider!$B$29:$F$29</c:f>
              <c:numCache>
                <c:formatCode>_ * #,##0_ ;_ * \-#,##0_ ;_ * "-"??_ ;_ @_ </c:formatCode>
                <c:ptCount val="5"/>
                <c:pt idx="0">
                  <c:v>825319.12422225648</c:v>
                </c:pt>
                <c:pt idx="1">
                  <c:v>804414.02779901237</c:v>
                </c:pt>
                <c:pt idx="2">
                  <c:v>783510.89505075559</c:v>
                </c:pt>
                <c:pt idx="3">
                  <c:v>762609.69596022426</c:v>
                </c:pt>
                <c:pt idx="4">
                  <c:v>741710.39491797576</c:v>
                </c:pt>
              </c:numCache>
            </c:numRef>
          </c:val>
        </c:ser>
        <c:ser>
          <c:idx val="5"/>
          <c:order val="5"/>
          <c:tx>
            <c:strRef>
              <c:f>Spider!$A$30</c:f>
              <c:strCache>
                <c:ptCount val="1"/>
                <c:pt idx="0">
                  <c:v>Inversiones en Activos Fijos</c:v>
                </c:pt>
              </c:strCache>
            </c:strRef>
          </c:tx>
          <c:cat>
            <c:numRef>
              <c:f>Spider!$B$24:$F$24</c:f>
              <c:numCache>
                <c:formatCode>0.0%</c:formatCode>
                <c:ptCount val="5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cat>
          <c:val>
            <c:numRef>
              <c:f>Spider!$B$30:$F$30</c:f>
              <c:numCache>
                <c:formatCode>_ * #,##0_ ;_ * \-#,##0_ ;_ * "-"??_ ;_ @_ </c:formatCode>
                <c:ptCount val="5"/>
                <c:pt idx="0">
                  <c:v>752038.04673735471</c:v>
                </c:pt>
                <c:pt idx="1">
                  <c:v>738170.7033146515</c:v>
                </c:pt>
                <c:pt idx="2">
                  <c:v>724367.78757099423</c:v>
                </c:pt>
                <c:pt idx="3">
                  <c:v>710625.40524043969</c:v>
                </c:pt>
                <c:pt idx="4">
                  <c:v>696939.98484459519</c:v>
                </c:pt>
              </c:numCache>
            </c:numRef>
          </c:val>
        </c:ser>
        <c:ser>
          <c:idx val="6"/>
          <c:order val="6"/>
          <c:tx>
            <c:strRef>
              <c:f>Spider!$A$31</c:f>
              <c:strCache>
                <c:ptCount val="1"/>
                <c:pt idx="0">
                  <c:v>Gastos de Administración</c:v>
                </c:pt>
              </c:strCache>
            </c:strRef>
          </c:tx>
          <c:cat>
            <c:numRef>
              <c:f>Spider!$B$24:$F$24</c:f>
              <c:numCache>
                <c:formatCode>0.0%</c:formatCode>
                <c:ptCount val="5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cat>
          <c:val>
            <c:numRef>
              <c:f>Spider!$B$31:$F$31</c:f>
              <c:numCache>
                <c:formatCode>_ * #,##0_ ;_ * \-#,##0_ ;_ * "-"??_ ;_ @_ </c:formatCode>
                <c:ptCount val="5"/>
                <c:pt idx="0">
                  <c:v>768246.22104579816</c:v>
                </c:pt>
                <c:pt idx="1">
                  <c:v>757675.68418435135</c:v>
                </c:pt>
                <c:pt idx="2">
                  <c:v>747107.88237049209</c:v>
                </c:pt>
                <c:pt idx="3">
                  <c:v>736542.87730860198</c:v>
                </c:pt>
                <c:pt idx="4">
                  <c:v>725980.7326194772</c:v>
                </c:pt>
              </c:numCache>
            </c:numRef>
          </c:val>
        </c:ser>
        <c:ser>
          <c:idx val="7"/>
          <c:order val="7"/>
          <c:tx>
            <c:strRef>
              <c:f>Spider!$A$32</c:f>
              <c:strCache>
                <c:ptCount val="1"/>
                <c:pt idx="0">
                  <c:v>Relación Pago ( % distr. Dividendos)</c:v>
                </c:pt>
              </c:strCache>
            </c:strRef>
          </c:tx>
          <c:cat>
            <c:numRef>
              <c:f>Spider!$B$24:$F$24</c:f>
              <c:numCache>
                <c:formatCode>0.0%</c:formatCode>
                <c:ptCount val="5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cat>
          <c:val>
            <c:numRef>
              <c:f>Spider!$B$32:$F$32</c:f>
              <c:numCache>
                <c:formatCode>_ * #,##0_ ;_ * \-#,##0_ ;_ * "-"??_ ;_ @_ </c:formatCode>
                <c:ptCount val="5"/>
                <c:pt idx="0">
                  <c:v>706912.9619053296</c:v>
                </c:pt>
                <c:pt idx="1">
                  <c:v>713654.65487066971</c:v>
                </c:pt>
                <c:pt idx="2">
                  <c:v>721018.83887138299</c:v>
                </c:pt>
                <c:pt idx="3">
                  <c:v>729110.24442585476</c:v>
                </c:pt>
                <c:pt idx="4">
                  <c:v>738060.58834920416</c:v>
                </c:pt>
              </c:numCache>
            </c:numRef>
          </c:val>
        </c:ser>
        <c:ser>
          <c:idx val="8"/>
          <c:order val="8"/>
          <c:tx>
            <c:strRef>
              <c:f>Spider!$A$33</c:f>
              <c:strCache>
                <c:ptCount val="1"/>
                <c:pt idx="0">
                  <c:v>Tasa de Interés Nominal</c:v>
                </c:pt>
              </c:strCache>
            </c:strRef>
          </c:tx>
          <c:cat>
            <c:numRef>
              <c:f>Spider!$B$24:$F$24</c:f>
              <c:numCache>
                <c:formatCode>0.0%</c:formatCode>
                <c:ptCount val="5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cat>
          <c:val>
            <c:numRef>
              <c:f>Spider!$B$33:$F$33</c:f>
              <c:numCache>
                <c:formatCode>_ * #,##0_ ;_ * \-#,##0_ ;_ * "-"??_ ;_ @_ </c:formatCode>
                <c:ptCount val="5"/>
                <c:pt idx="0">
                  <c:v>734167.95576231473</c:v>
                </c:pt>
                <c:pt idx="1">
                  <c:v>728669.95245774731</c:v>
                </c:pt>
                <c:pt idx="2">
                  <c:v>722762.03635099484</c:v>
                </c:pt>
                <c:pt idx="3">
                  <c:v>715308.52460682171</c:v>
                </c:pt>
                <c:pt idx="4">
                  <c:v>704109.92912342947</c:v>
                </c:pt>
              </c:numCache>
            </c:numRef>
          </c:val>
        </c:ser>
        <c:ser>
          <c:idx val="9"/>
          <c:order val="9"/>
          <c:tx>
            <c:strRef>
              <c:f>Spider!$A$34</c:f>
              <c:strCache>
                <c:ptCount val="1"/>
                <c:pt idx="0">
                  <c:v>Rotación de Inventarios</c:v>
                </c:pt>
              </c:strCache>
            </c:strRef>
          </c:tx>
          <c:cat>
            <c:numRef>
              <c:f>Spider!$B$24:$F$24</c:f>
              <c:numCache>
                <c:formatCode>0.0%</c:formatCode>
                <c:ptCount val="5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</c:numCache>
            </c:numRef>
          </c:cat>
          <c:val>
            <c:numRef>
              <c:f>Spider!$B$34:$F$34</c:f>
              <c:numCache>
                <c:formatCode>_ * #,##0_ ;_ * \-#,##0_ ;_ * "-"??_ ;_ @_ </c:formatCode>
                <c:ptCount val="5"/>
                <c:pt idx="0">
                  <c:v>707042.20133440499</c:v>
                </c:pt>
                <c:pt idx="1">
                  <c:v>726782.10185955395</c:v>
                </c:pt>
                <c:pt idx="2">
                  <c:v>731261.44336421171</c:v>
                </c:pt>
                <c:pt idx="3">
                  <c:v>727052.34198178595</c:v>
                </c:pt>
                <c:pt idx="4">
                  <c:v>717466.33696809132</c:v>
                </c:pt>
              </c:numCache>
            </c:numRef>
          </c:val>
        </c:ser>
        <c:marker val="1"/>
        <c:axId val="216840448"/>
        <c:axId val="216851200"/>
      </c:lineChart>
      <c:catAx>
        <c:axId val="2168404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s-ES"/>
                  <a:t>Percentiles of the variables</a:t>
                </a:r>
              </a:p>
            </c:rich>
          </c:tx>
          <c:layout/>
        </c:title>
        <c:numFmt formatCode="0.0%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216851200"/>
        <c:crossesAt val="400000.00000000081"/>
        <c:auto val="1"/>
        <c:lblAlgn val="ctr"/>
        <c:lblOffset val="100"/>
      </c:catAx>
      <c:valAx>
        <c:axId val="216851200"/>
        <c:scaling>
          <c:orientation val="minMax"/>
          <c:max val="1200000.0000000023"/>
          <c:min val="400000.00000000081"/>
        </c:scaling>
        <c:axPos val="l"/>
        <c:title>
          <c:tx>
            <c:rich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rich>
          </c:tx>
          <c:layout/>
        </c:title>
        <c:numFmt formatCode="_ * #,##0_ ;_ * \-#,##0_ ;_ * &quot;-&quot;??_ ;_ @_ 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216840448"/>
        <c:crosses val="autoZero"/>
        <c:crossBetween val="midCat"/>
        <c:majorUnit val="200000.00000000041"/>
      </c:valAx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</c:plotArea>
    <c:legend>
      <c:legendPos val="r"/>
      <c:layout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ES"/>
        </a:p>
      </c:txPr>
    </c:legend>
    <c:plotVisOnly val="1"/>
    <c:dispBlanksAs val="gap"/>
  </c:chart>
  <c:spPr>
    <a:solidFill>
      <a:srgbClr val="DFDFDF"/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ES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Costo de Ventas</a:t>
            </a:r>
          </a:p>
        </c:rich>
      </c:tx>
      <c:layout>
        <c:manualLayout>
          <c:xMode val="edge"/>
          <c:yMode val="edge"/>
          <c:x val="0.27441719564790085"/>
          <c:y val="3.9360746573344998E-2"/>
        </c:manualLayout>
      </c:layout>
    </c:title>
    <c:plotArea>
      <c:layout>
        <c:manualLayout>
          <c:xMode val="edge"/>
          <c:yMode val="edge"/>
          <c:x val="2.3443228852523187E-2"/>
          <c:y val="0.19680204426186448"/>
          <c:w val="0.96483515672121511"/>
          <c:h val="0.78351775131194856"/>
        </c:manualLayout>
      </c:layout>
      <c:areaChart>
        <c:grouping val="standard"/>
        <c:ser>
          <c:idx val="0"/>
          <c:order val="0"/>
          <c:spPr>
            <a:solidFill>
              <a:srgbClr val="008000"/>
            </a:solidFill>
            <a:ln w="25400">
              <a:noFill/>
            </a:ln>
          </c:spPr>
          <c:cat>
            <c:numRef>
              <c:f>Report!$T$5:$T$104</c:f>
              <c:numCache>
                <c:formatCode>General</c:formatCode>
                <c:ptCount val="100"/>
                <c:pt idx="0" formatCode="0%">
                  <c:v>0.55000000000000004</c:v>
                </c:pt>
                <c:pt idx="16" formatCode="0%">
                  <c:v>0.5661616161616162</c:v>
                </c:pt>
                <c:pt idx="32" formatCode="0%">
                  <c:v>0.58232323232323235</c:v>
                </c:pt>
                <c:pt idx="48" formatCode="0%">
                  <c:v>0.59848484848484851</c:v>
                </c:pt>
                <c:pt idx="64" formatCode="0%">
                  <c:v>0.61464646464646466</c:v>
                </c:pt>
                <c:pt idx="80" formatCode="0%">
                  <c:v>0.63080808080808082</c:v>
                </c:pt>
                <c:pt idx="99" formatCode="0%">
                  <c:v>0.65</c:v>
                </c:pt>
              </c:numCache>
            </c:numRef>
          </c:cat>
          <c:val>
            <c:numRef>
              <c:f>Report!$U$5:$U$104</c:f>
              <c:numCache>
                <c:formatCode>0.00</c:formatCode>
                <c:ptCount val="100"/>
                <c:pt idx="0">
                  <c:v>1.7005067510114546E-4</c:v>
                </c:pt>
                <c:pt idx="1">
                  <c:v>6.8020270040465667E-4</c:v>
                </c:pt>
                <c:pt idx="2">
                  <c:v>1.3604054008093131E-3</c:v>
                </c:pt>
                <c:pt idx="3">
                  <c:v>2.0406081012139701E-3</c:v>
                </c:pt>
                <c:pt idx="4">
                  <c:v>2.7208108016186262E-3</c:v>
                </c:pt>
                <c:pt idx="5">
                  <c:v>3.4010135020232837E-3</c:v>
                </c:pt>
                <c:pt idx="6">
                  <c:v>4.0812162024279394E-3</c:v>
                </c:pt>
                <c:pt idx="7">
                  <c:v>4.7614189028325985E-3</c:v>
                </c:pt>
                <c:pt idx="8">
                  <c:v>5.4416216032372559E-3</c:v>
                </c:pt>
                <c:pt idx="9">
                  <c:v>6.1218243036418353E-3</c:v>
                </c:pt>
                <c:pt idx="10">
                  <c:v>6.802027004046491E-3</c:v>
                </c:pt>
                <c:pt idx="11">
                  <c:v>7.4822297044511502E-3</c:v>
                </c:pt>
                <c:pt idx="12">
                  <c:v>8.1624324048558058E-3</c:v>
                </c:pt>
                <c:pt idx="13">
                  <c:v>8.8426351052604615E-3</c:v>
                </c:pt>
                <c:pt idx="14">
                  <c:v>9.5228378056651172E-3</c:v>
                </c:pt>
                <c:pt idx="15">
                  <c:v>1.020304050606978E-2</c:v>
                </c:pt>
                <c:pt idx="16">
                  <c:v>1.0883243206474436E-2</c:v>
                </c:pt>
                <c:pt idx="17">
                  <c:v>1.1563445906879091E-2</c:v>
                </c:pt>
                <c:pt idx="18">
                  <c:v>1.2243648607283747E-2</c:v>
                </c:pt>
                <c:pt idx="19">
                  <c:v>1.2923851307688403E-2</c:v>
                </c:pt>
                <c:pt idx="20">
                  <c:v>1.3604054008093058E-2</c:v>
                </c:pt>
                <c:pt idx="21">
                  <c:v>1.42842567084977E-2</c:v>
                </c:pt>
                <c:pt idx="22">
                  <c:v>1.496445940890237E-2</c:v>
                </c:pt>
                <c:pt idx="23">
                  <c:v>1.5644662109307012E-2</c:v>
                </c:pt>
                <c:pt idx="24">
                  <c:v>1.6324864809711681E-2</c:v>
                </c:pt>
                <c:pt idx="25">
                  <c:v>1.7005067510116267E-2</c:v>
                </c:pt>
                <c:pt idx="26">
                  <c:v>1.7685270210520937E-2</c:v>
                </c:pt>
                <c:pt idx="27">
                  <c:v>1.8365472910925579E-2</c:v>
                </c:pt>
                <c:pt idx="28">
                  <c:v>1.9045675611330248E-2</c:v>
                </c:pt>
                <c:pt idx="29">
                  <c:v>1.9725878311734946E-2</c:v>
                </c:pt>
                <c:pt idx="30">
                  <c:v>2.0095131206240235E-2</c:v>
                </c:pt>
                <c:pt idx="31">
                  <c:v>1.9823050126078379E-2</c:v>
                </c:pt>
                <c:pt idx="32">
                  <c:v>1.9531534683047802E-2</c:v>
                </c:pt>
                <c:pt idx="33">
                  <c:v>1.9240019240017225E-2</c:v>
                </c:pt>
                <c:pt idx="34">
                  <c:v>1.8948503796986649E-2</c:v>
                </c:pt>
                <c:pt idx="35">
                  <c:v>1.8656988353956128E-2</c:v>
                </c:pt>
                <c:pt idx="36">
                  <c:v>1.8365472910925495E-2</c:v>
                </c:pt>
                <c:pt idx="37">
                  <c:v>1.8073957467894974E-2</c:v>
                </c:pt>
                <c:pt idx="38">
                  <c:v>1.7782442024864398E-2</c:v>
                </c:pt>
                <c:pt idx="39">
                  <c:v>1.7490926581833821E-2</c:v>
                </c:pt>
                <c:pt idx="40">
                  <c:v>1.7199411138803244E-2</c:v>
                </c:pt>
                <c:pt idx="41">
                  <c:v>1.6907895695772779E-2</c:v>
                </c:pt>
                <c:pt idx="42">
                  <c:v>1.6616380252742147E-2</c:v>
                </c:pt>
                <c:pt idx="43">
                  <c:v>1.6324864809711626E-2</c:v>
                </c:pt>
                <c:pt idx="44">
                  <c:v>1.6033349366680993E-2</c:v>
                </c:pt>
                <c:pt idx="45">
                  <c:v>1.5741833923650472E-2</c:v>
                </c:pt>
                <c:pt idx="46">
                  <c:v>1.5450318480619951E-2</c:v>
                </c:pt>
                <c:pt idx="47">
                  <c:v>1.5158803037589319E-2</c:v>
                </c:pt>
                <c:pt idx="48">
                  <c:v>1.4867287594558798E-2</c:v>
                </c:pt>
                <c:pt idx="49">
                  <c:v>1.4575772151528166E-2</c:v>
                </c:pt>
                <c:pt idx="50">
                  <c:v>1.4284256708497645E-2</c:v>
                </c:pt>
                <c:pt idx="51">
                  <c:v>1.3992741265467123E-2</c:v>
                </c:pt>
                <c:pt idx="52">
                  <c:v>1.3701225822436491E-2</c:v>
                </c:pt>
                <c:pt idx="53">
                  <c:v>1.340971037940597E-2</c:v>
                </c:pt>
                <c:pt idx="54">
                  <c:v>1.3118194936375338E-2</c:v>
                </c:pt>
                <c:pt idx="55">
                  <c:v>1.2826679493344817E-2</c:v>
                </c:pt>
                <c:pt idx="56">
                  <c:v>1.2535164050314185E-2</c:v>
                </c:pt>
                <c:pt idx="57">
                  <c:v>1.2243648607283775E-2</c:v>
                </c:pt>
                <c:pt idx="58">
                  <c:v>1.1952133164253143E-2</c:v>
                </c:pt>
                <c:pt idx="59">
                  <c:v>1.1660617721222621E-2</c:v>
                </c:pt>
                <c:pt idx="60">
                  <c:v>1.13691022781921E-2</c:v>
                </c:pt>
                <c:pt idx="61">
                  <c:v>1.1077586835161357E-2</c:v>
                </c:pt>
                <c:pt idx="62">
                  <c:v>1.0786071392130947E-2</c:v>
                </c:pt>
                <c:pt idx="63">
                  <c:v>1.0494555949100315E-2</c:v>
                </c:pt>
                <c:pt idx="64">
                  <c:v>1.0203040506069794E-2</c:v>
                </c:pt>
                <c:pt idx="65">
                  <c:v>9.9115250630391616E-3</c:v>
                </c:pt>
                <c:pt idx="66">
                  <c:v>9.6200096200086405E-3</c:v>
                </c:pt>
                <c:pt idx="67">
                  <c:v>9.3284941769780083E-3</c:v>
                </c:pt>
                <c:pt idx="68">
                  <c:v>9.0369787339474872E-3</c:v>
                </c:pt>
                <c:pt idx="69">
                  <c:v>8.7454632909169661E-3</c:v>
                </c:pt>
                <c:pt idx="70">
                  <c:v>8.4539478478863339E-3</c:v>
                </c:pt>
                <c:pt idx="71">
                  <c:v>8.1624324048557018E-3</c:v>
                </c:pt>
                <c:pt idx="72">
                  <c:v>7.8709169618252917E-3</c:v>
                </c:pt>
                <c:pt idx="73">
                  <c:v>7.5794015187946595E-3</c:v>
                </c:pt>
                <c:pt idx="74">
                  <c:v>7.2878860757640274E-3</c:v>
                </c:pt>
                <c:pt idx="75">
                  <c:v>6.9963706327336173E-3</c:v>
                </c:pt>
                <c:pt idx="76">
                  <c:v>6.7048551897029851E-3</c:v>
                </c:pt>
                <c:pt idx="77">
                  <c:v>6.413339746672464E-3</c:v>
                </c:pt>
                <c:pt idx="78">
                  <c:v>6.1218243036418318E-3</c:v>
                </c:pt>
                <c:pt idx="79">
                  <c:v>5.8303088606113107E-3</c:v>
                </c:pt>
                <c:pt idx="80">
                  <c:v>5.5387934175807896E-3</c:v>
                </c:pt>
                <c:pt idx="81">
                  <c:v>5.2472779745501574E-3</c:v>
                </c:pt>
                <c:pt idx="82">
                  <c:v>4.9557625315196363E-3</c:v>
                </c:pt>
                <c:pt idx="83">
                  <c:v>4.6642470884890042E-3</c:v>
                </c:pt>
                <c:pt idx="84">
                  <c:v>4.372731645458483E-3</c:v>
                </c:pt>
                <c:pt idx="85">
                  <c:v>4.0812162024279619E-3</c:v>
                </c:pt>
                <c:pt idx="86">
                  <c:v>3.7897007593973298E-3</c:v>
                </c:pt>
                <c:pt idx="87">
                  <c:v>3.4981853163668086E-3</c:v>
                </c:pt>
                <c:pt idx="88">
                  <c:v>3.2066698733361765E-3</c:v>
                </c:pt>
                <c:pt idx="89">
                  <c:v>2.9151544303056554E-3</c:v>
                </c:pt>
                <c:pt idx="90">
                  <c:v>2.6236389872750232E-3</c:v>
                </c:pt>
                <c:pt idx="91">
                  <c:v>2.3321235442445021E-3</c:v>
                </c:pt>
                <c:pt idx="92">
                  <c:v>2.040608101213981E-3</c:v>
                </c:pt>
                <c:pt idx="93">
                  <c:v>1.7490926581833488E-3</c:v>
                </c:pt>
                <c:pt idx="94">
                  <c:v>1.4575772151528277E-3</c:v>
                </c:pt>
                <c:pt idx="95">
                  <c:v>1.1660617721223066E-3</c:v>
                </c:pt>
                <c:pt idx="96">
                  <c:v>8.745463290916744E-4</c:v>
                </c:pt>
                <c:pt idx="97">
                  <c:v>5.8303088606115328E-4</c:v>
                </c:pt>
                <c:pt idx="98">
                  <c:v>2.9151544303063215E-4</c:v>
                </c:pt>
                <c:pt idx="99">
                  <c:v>7.287886075757477E-5</c:v>
                </c:pt>
              </c:numCache>
            </c:numRef>
          </c:val>
        </c:ser>
        <c:axId val="216480000"/>
        <c:axId val="216526848"/>
      </c:areaChart>
      <c:catAx>
        <c:axId val="216480000"/>
        <c:scaling>
          <c:orientation val="minMax"/>
        </c:scaling>
        <c:axPos val="b"/>
        <c:numFmt formatCode="0%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16526848"/>
        <c:crossesAt val="0"/>
        <c:lblAlgn val="ctr"/>
        <c:lblOffset val="100"/>
        <c:tickLblSkip val="1"/>
        <c:tickMarkSkip val="16"/>
      </c:catAx>
      <c:valAx>
        <c:axId val="216526848"/>
        <c:scaling>
          <c:orientation val="minMax"/>
          <c:min val="0"/>
        </c:scaling>
        <c:axPos val="l"/>
        <c:title>
          <c:tx>
            <c:rich>
              <a:bodyPr/>
              <a:lstStyle/>
              <a:p>
                <a:pPr>
                  <a:defRPr sz="7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Probability</a:t>
                </a:r>
              </a:p>
            </c:rich>
          </c:tx>
          <c:layout>
            <c:manualLayout>
              <c:xMode val="edge"/>
              <c:yMode val="edge"/>
              <c:x val="2.3443060806826458E-2"/>
              <c:y val="0.2420414114902304"/>
            </c:manualLayout>
          </c:layout>
        </c:title>
        <c:numFmt formatCode="0.00" sourceLinked="1"/>
        <c:maj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1648000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zero"/>
  </c:chart>
  <c:spPr>
    <a:solidFill>
      <a:srgbClr val="E3E3E3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>
      <c:oddHeader>&amp;A</c:oddHeader>
      <c:oddFooter>Page &amp;P</c:oddFooter>
    </c:headerFooter>
    <c:pageMargins b="1" l="0.75000000000000056" r="0.75000000000000056" t="1" header="0.5" footer="0.5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Días Plazo Cartera</a:t>
            </a:r>
          </a:p>
        </c:rich>
      </c:tx>
      <c:layout>
        <c:manualLayout>
          <c:xMode val="edge"/>
          <c:yMode val="edge"/>
          <c:x val="0.24476140922913273"/>
          <c:y val="3.9360746573344998E-2"/>
        </c:manualLayout>
      </c:layout>
    </c:title>
    <c:plotArea>
      <c:layout>
        <c:manualLayout>
          <c:xMode val="edge"/>
          <c:yMode val="edge"/>
          <c:x val="2.3443228852523187E-2"/>
          <c:y val="0.19680204426186448"/>
          <c:w val="0.96483515672121511"/>
          <c:h val="0.78351775131194856"/>
        </c:manualLayout>
      </c:layout>
      <c:areaChart>
        <c:grouping val="standard"/>
        <c:ser>
          <c:idx val="0"/>
          <c:order val="0"/>
          <c:spPr>
            <a:solidFill>
              <a:srgbClr val="008000"/>
            </a:solidFill>
            <a:ln w="25400">
              <a:noFill/>
            </a:ln>
          </c:spPr>
          <c:cat>
            <c:numRef>
              <c:f>Report!$W$5:$W$104</c:f>
              <c:numCache>
                <c:formatCode>General</c:formatCode>
                <c:ptCount val="100"/>
                <c:pt idx="0" formatCode="0\ &quot;días&quot;">
                  <c:v>30</c:v>
                </c:pt>
                <c:pt idx="50" formatCode="0\ &quot;días&quot;">
                  <c:v>52.727272727272727</c:v>
                </c:pt>
                <c:pt idx="99" formatCode="0\ &quot;días&quot;">
                  <c:v>75</c:v>
                </c:pt>
              </c:numCache>
            </c:numRef>
          </c:cat>
          <c:val>
            <c:numRef>
              <c:f>Report!$X$5:$X$104</c:f>
              <c:numCache>
                <c:formatCode>0.00</c:formatCode>
                <c:ptCount val="100"/>
                <c:pt idx="0">
                  <c:v>7.6522803795530634E-5</c:v>
                </c:pt>
                <c:pt idx="1">
                  <c:v>3.0609121518212253E-4</c:v>
                </c:pt>
                <c:pt idx="2">
                  <c:v>6.1218243036424745E-4</c:v>
                </c:pt>
                <c:pt idx="3">
                  <c:v>9.1827364554636999E-4</c:v>
                </c:pt>
                <c:pt idx="4">
                  <c:v>1.2243648607285034E-3</c:v>
                </c:pt>
                <c:pt idx="5">
                  <c:v>1.5304560759106171E-3</c:v>
                </c:pt>
                <c:pt idx="6">
                  <c:v>1.8365472910927402E-3</c:v>
                </c:pt>
                <c:pt idx="7">
                  <c:v>2.142638506274862E-3</c:v>
                </c:pt>
                <c:pt idx="8">
                  <c:v>2.4487297214569863E-3</c:v>
                </c:pt>
                <c:pt idx="9">
                  <c:v>2.7548209366391116E-3</c:v>
                </c:pt>
                <c:pt idx="10">
                  <c:v>3.0609121518212351E-3</c:v>
                </c:pt>
                <c:pt idx="11">
                  <c:v>3.3670033670033586E-3</c:v>
                </c:pt>
                <c:pt idx="12">
                  <c:v>3.6730945821854787E-3</c:v>
                </c:pt>
                <c:pt idx="13">
                  <c:v>3.9791857973676022E-3</c:v>
                </c:pt>
                <c:pt idx="14">
                  <c:v>4.2852770125497326E-3</c:v>
                </c:pt>
                <c:pt idx="15">
                  <c:v>4.5913682277318527E-3</c:v>
                </c:pt>
                <c:pt idx="16">
                  <c:v>4.8974594429139692E-3</c:v>
                </c:pt>
                <c:pt idx="17">
                  <c:v>5.2035506580960997E-3</c:v>
                </c:pt>
                <c:pt idx="18">
                  <c:v>5.5096418732782232E-3</c:v>
                </c:pt>
                <c:pt idx="19">
                  <c:v>5.8157330884603398E-3</c:v>
                </c:pt>
                <c:pt idx="20">
                  <c:v>6.1218243036424771E-3</c:v>
                </c:pt>
                <c:pt idx="21">
                  <c:v>6.4279155188245868E-3</c:v>
                </c:pt>
                <c:pt idx="22">
                  <c:v>6.7340067340067172E-3</c:v>
                </c:pt>
                <c:pt idx="23">
                  <c:v>7.0400979491888338E-3</c:v>
                </c:pt>
                <c:pt idx="24">
                  <c:v>7.3461891643709643E-3</c:v>
                </c:pt>
                <c:pt idx="25">
                  <c:v>7.6522803795530808E-3</c:v>
                </c:pt>
                <c:pt idx="26">
                  <c:v>7.9583715947352113E-3</c:v>
                </c:pt>
                <c:pt idx="27">
                  <c:v>8.2644628099173278E-3</c:v>
                </c:pt>
                <c:pt idx="28">
                  <c:v>8.5705540250994583E-3</c:v>
                </c:pt>
                <c:pt idx="29">
                  <c:v>8.8766452402815749E-3</c:v>
                </c:pt>
                <c:pt idx="30">
                  <c:v>9.1827364554636914E-3</c:v>
                </c:pt>
                <c:pt idx="31">
                  <c:v>9.4888276706458219E-3</c:v>
                </c:pt>
                <c:pt idx="32">
                  <c:v>9.7949188858279523E-3</c:v>
                </c:pt>
                <c:pt idx="33">
                  <c:v>1.0101010101010055E-2</c:v>
                </c:pt>
                <c:pt idx="34">
                  <c:v>1.0407101316192213E-2</c:v>
                </c:pt>
                <c:pt idx="35">
                  <c:v>1.0713192531374316E-2</c:v>
                </c:pt>
                <c:pt idx="36">
                  <c:v>1.1019283746556419E-2</c:v>
                </c:pt>
                <c:pt idx="37">
                  <c:v>1.1325374961738549E-2</c:v>
                </c:pt>
                <c:pt idx="38">
                  <c:v>1.1631466176920707E-2</c:v>
                </c:pt>
                <c:pt idx="39">
                  <c:v>1.193755739210281E-2</c:v>
                </c:pt>
                <c:pt idx="40">
                  <c:v>1.2243648607284913E-2</c:v>
                </c:pt>
                <c:pt idx="41">
                  <c:v>1.2549739822467099E-2</c:v>
                </c:pt>
                <c:pt idx="42">
                  <c:v>1.2855831037649201E-2</c:v>
                </c:pt>
                <c:pt idx="43">
                  <c:v>1.3161922252831304E-2</c:v>
                </c:pt>
                <c:pt idx="44">
                  <c:v>1.3468013468013407E-2</c:v>
                </c:pt>
                <c:pt idx="45">
                  <c:v>1.3774104683195565E-2</c:v>
                </c:pt>
                <c:pt idx="46">
                  <c:v>1.4080195898377668E-2</c:v>
                </c:pt>
                <c:pt idx="47">
                  <c:v>1.4386287113559826E-2</c:v>
                </c:pt>
                <c:pt idx="48">
                  <c:v>1.4692378328741929E-2</c:v>
                </c:pt>
                <c:pt idx="49">
                  <c:v>1.4998469543924031E-2</c:v>
                </c:pt>
                <c:pt idx="50">
                  <c:v>1.5304560759106189E-2</c:v>
                </c:pt>
                <c:pt idx="51">
                  <c:v>1.5610651974288292E-2</c:v>
                </c:pt>
                <c:pt idx="52">
                  <c:v>1.5916743189470395E-2</c:v>
                </c:pt>
                <c:pt idx="53">
                  <c:v>1.6222834404652497E-2</c:v>
                </c:pt>
                <c:pt idx="54">
                  <c:v>1.6528925619834656E-2</c:v>
                </c:pt>
                <c:pt idx="55">
                  <c:v>1.6835016835016814E-2</c:v>
                </c:pt>
                <c:pt idx="56">
                  <c:v>1.7141108050198917E-2</c:v>
                </c:pt>
                <c:pt idx="57">
                  <c:v>1.7447199265381019E-2</c:v>
                </c:pt>
                <c:pt idx="58">
                  <c:v>1.7753290480563177E-2</c:v>
                </c:pt>
                <c:pt idx="59">
                  <c:v>1.805938169574528E-2</c:v>
                </c:pt>
                <c:pt idx="60">
                  <c:v>1.8365472910927494E-2</c:v>
                </c:pt>
                <c:pt idx="61">
                  <c:v>1.8671564126109486E-2</c:v>
                </c:pt>
                <c:pt idx="62">
                  <c:v>1.8977655341291699E-2</c:v>
                </c:pt>
                <c:pt idx="63">
                  <c:v>1.9283746556473691E-2</c:v>
                </c:pt>
                <c:pt idx="64">
                  <c:v>1.9589837771655905E-2</c:v>
                </c:pt>
                <c:pt idx="65">
                  <c:v>1.9895928986838007E-2</c:v>
                </c:pt>
                <c:pt idx="66">
                  <c:v>2.0087235996326891E-2</c:v>
                </c:pt>
                <c:pt idx="67">
                  <c:v>1.9589837771655905E-2</c:v>
                </c:pt>
                <c:pt idx="68">
                  <c:v>1.8977655341291588E-2</c:v>
                </c:pt>
                <c:pt idx="69">
                  <c:v>1.8365472910927383E-2</c:v>
                </c:pt>
                <c:pt idx="70">
                  <c:v>1.7753290480563177E-2</c:v>
                </c:pt>
                <c:pt idx="71">
                  <c:v>1.7141108050198861E-2</c:v>
                </c:pt>
                <c:pt idx="72">
                  <c:v>1.6528925619834656E-2</c:v>
                </c:pt>
                <c:pt idx="73">
                  <c:v>1.591674318947045E-2</c:v>
                </c:pt>
                <c:pt idx="74">
                  <c:v>1.5304560759106134E-2</c:v>
                </c:pt>
                <c:pt idx="75">
                  <c:v>1.469237832874204E-2</c:v>
                </c:pt>
                <c:pt idx="76">
                  <c:v>1.4080195898378167E-2</c:v>
                </c:pt>
                <c:pt idx="77">
                  <c:v>1.3468013468013851E-2</c:v>
                </c:pt>
                <c:pt idx="78">
                  <c:v>1.2855831037649645E-2</c:v>
                </c:pt>
                <c:pt idx="79">
                  <c:v>1.2243648607285329E-2</c:v>
                </c:pt>
                <c:pt idx="80">
                  <c:v>1.1631466176921013E-2</c:v>
                </c:pt>
                <c:pt idx="81">
                  <c:v>1.1019283746556807E-2</c:v>
                </c:pt>
                <c:pt idx="82">
                  <c:v>1.0407101316192491E-2</c:v>
                </c:pt>
                <c:pt idx="83">
                  <c:v>9.7949188858282854E-3</c:v>
                </c:pt>
                <c:pt idx="84">
                  <c:v>9.182736455463969E-3</c:v>
                </c:pt>
                <c:pt idx="85">
                  <c:v>8.5705540250997636E-3</c:v>
                </c:pt>
                <c:pt idx="86">
                  <c:v>7.9583715947354472E-3</c:v>
                </c:pt>
                <c:pt idx="87">
                  <c:v>7.3461891643712418E-3</c:v>
                </c:pt>
                <c:pt idx="88">
                  <c:v>6.7340067340069254E-3</c:v>
                </c:pt>
                <c:pt idx="89">
                  <c:v>6.121824303642609E-3</c:v>
                </c:pt>
                <c:pt idx="90">
                  <c:v>5.5096418732784036E-3</c:v>
                </c:pt>
                <c:pt idx="91">
                  <c:v>4.8974594429141982E-3</c:v>
                </c:pt>
                <c:pt idx="92">
                  <c:v>4.2852770125498818E-3</c:v>
                </c:pt>
                <c:pt idx="93">
                  <c:v>3.6730945821855654E-3</c:v>
                </c:pt>
                <c:pt idx="94">
                  <c:v>3.06091215182136E-3</c:v>
                </c:pt>
                <c:pt idx="95">
                  <c:v>2.4487297214570436E-3</c:v>
                </c:pt>
                <c:pt idx="96">
                  <c:v>1.8365472910927272E-3</c:v>
                </c:pt>
                <c:pt idx="97">
                  <c:v>1.2243648607285218E-3</c:v>
                </c:pt>
                <c:pt idx="98">
                  <c:v>6.1218243036420539E-4</c:v>
                </c:pt>
                <c:pt idx="99">
                  <c:v>1.5304560759110686E-4</c:v>
                </c:pt>
              </c:numCache>
            </c:numRef>
          </c:val>
        </c:ser>
        <c:axId val="216493440"/>
        <c:axId val="216560768"/>
      </c:areaChart>
      <c:catAx>
        <c:axId val="216493440"/>
        <c:scaling>
          <c:orientation val="minMax"/>
        </c:scaling>
        <c:axPos val="b"/>
        <c:numFmt formatCode="0\ &quot;días&quot;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16560768"/>
        <c:crossesAt val="0"/>
        <c:lblAlgn val="ctr"/>
        <c:lblOffset val="100"/>
        <c:tickLblSkip val="1"/>
        <c:tickMarkSkip val="50"/>
      </c:catAx>
      <c:valAx>
        <c:axId val="216560768"/>
        <c:scaling>
          <c:orientation val="minMax"/>
          <c:min val="0"/>
        </c:scaling>
        <c:axPos val="l"/>
        <c:title>
          <c:tx>
            <c:rich>
              <a:bodyPr/>
              <a:lstStyle/>
              <a:p>
                <a:pPr>
                  <a:defRPr sz="7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Probability</a:t>
                </a:r>
              </a:p>
            </c:rich>
          </c:tx>
          <c:layout>
            <c:manualLayout>
              <c:xMode val="edge"/>
              <c:yMode val="edge"/>
              <c:x val="2.3443060806826458E-2"/>
              <c:y val="0.2420414114902304"/>
            </c:manualLayout>
          </c:layout>
        </c:title>
        <c:numFmt formatCode="0.00" sourceLinked="1"/>
        <c:maj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1649344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zero"/>
  </c:chart>
  <c:spPr>
    <a:solidFill>
      <a:srgbClr val="E3E3E3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>
      <c:oddHeader>&amp;A</c:oddHeader>
      <c:oddFooter>Page &amp;P</c:oddFooter>
    </c:headerFooter>
    <c:pageMargins b="1" l="0.75000000000000056" r="0.75000000000000056" t="1" header="0.5" footer="0.5"/>
    <c:pageSetup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Días Plazo Pago Proveedores</a:t>
            </a:r>
          </a:p>
        </c:rich>
      </c:tx>
      <c:layout>
        <c:manualLayout>
          <c:xMode val="edge"/>
          <c:yMode val="edge"/>
          <c:x val="0.10552337345497011"/>
          <c:y val="3.9360746573344998E-2"/>
        </c:manualLayout>
      </c:layout>
    </c:title>
    <c:plotArea>
      <c:layout>
        <c:manualLayout>
          <c:xMode val="edge"/>
          <c:yMode val="edge"/>
          <c:x val="2.3443228852523187E-2"/>
          <c:y val="0.19680204426186448"/>
          <c:w val="0.96483515672121511"/>
          <c:h val="0.78351775131194856"/>
        </c:manualLayout>
      </c:layout>
      <c:areaChart>
        <c:grouping val="standard"/>
        <c:ser>
          <c:idx val="0"/>
          <c:order val="0"/>
          <c:spPr>
            <a:solidFill>
              <a:srgbClr val="008000"/>
            </a:solidFill>
            <a:ln w="25400">
              <a:noFill/>
            </a:ln>
          </c:spPr>
          <c:cat>
            <c:numRef>
              <c:f>Report!$Z$5:$Z$104</c:f>
              <c:numCache>
                <c:formatCode>General</c:formatCode>
                <c:ptCount val="100"/>
                <c:pt idx="0" formatCode="0\ &quot;días&quot;">
                  <c:v>60</c:v>
                </c:pt>
                <c:pt idx="50" formatCode="0\ &quot;días&quot;">
                  <c:v>75.151515151515156</c:v>
                </c:pt>
                <c:pt idx="99" formatCode="0\ &quot;días&quot;">
                  <c:v>90</c:v>
                </c:pt>
              </c:numCache>
            </c:numRef>
          </c:cat>
          <c:val>
            <c:numRef>
              <c:f>Report!$AA$5:$AA$104</c:f>
              <c:numCache>
                <c:formatCode>0.00</c:formatCode>
                <c:ptCount val="100"/>
                <c:pt idx="0">
                  <c:v>1.0101010101009915E-2</c:v>
                </c:pt>
                <c:pt idx="1">
                  <c:v>1.0101010101009915E-2</c:v>
                </c:pt>
                <c:pt idx="2">
                  <c:v>1.0101010101009915E-2</c:v>
                </c:pt>
                <c:pt idx="3">
                  <c:v>1.0101010101009913E-2</c:v>
                </c:pt>
                <c:pt idx="4">
                  <c:v>1.0101010101009916E-2</c:v>
                </c:pt>
                <c:pt idx="5">
                  <c:v>1.0101010101009916E-2</c:v>
                </c:pt>
                <c:pt idx="6">
                  <c:v>1.0101010101009909E-2</c:v>
                </c:pt>
                <c:pt idx="7">
                  <c:v>1.0101010101009916E-2</c:v>
                </c:pt>
                <c:pt idx="8">
                  <c:v>1.0101010101009916E-2</c:v>
                </c:pt>
                <c:pt idx="9">
                  <c:v>1.0101010101009916E-2</c:v>
                </c:pt>
                <c:pt idx="10">
                  <c:v>1.0101010101009916E-2</c:v>
                </c:pt>
                <c:pt idx="11">
                  <c:v>1.0101010101009916E-2</c:v>
                </c:pt>
                <c:pt idx="12">
                  <c:v>1.0101010101009902E-2</c:v>
                </c:pt>
                <c:pt idx="13">
                  <c:v>1.0101010101010138E-2</c:v>
                </c:pt>
                <c:pt idx="14">
                  <c:v>1.0101010101010388E-2</c:v>
                </c:pt>
                <c:pt idx="15">
                  <c:v>1.0101010101010388E-2</c:v>
                </c:pt>
                <c:pt idx="16">
                  <c:v>1.0101010101010388E-2</c:v>
                </c:pt>
                <c:pt idx="17">
                  <c:v>1.0101010101010388E-2</c:v>
                </c:pt>
                <c:pt idx="18">
                  <c:v>1.0101010101010388E-2</c:v>
                </c:pt>
                <c:pt idx="19">
                  <c:v>1.0101010101010388E-2</c:v>
                </c:pt>
                <c:pt idx="20">
                  <c:v>1.0101010101010388E-2</c:v>
                </c:pt>
                <c:pt idx="21">
                  <c:v>1.0101010101010388E-2</c:v>
                </c:pt>
                <c:pt idx="22">
                  <c:v>1.0101010101010388E-2</c:v>
                </c:pt>
                <c:pt idx="23">
                  <c:v>1.0101010101010388E-2</c:v>
                </c:pt>
                <c:pt idx="24">
                  <c:v>1.0101010101010388E-2</c:v>
                </c:pt>
                <c:pt idx="25">
                  <c:v>1.0101010101010388E-2</c:v>
                </c:pt>
                <c:pt idx="26">
                  <c:v>1.0101010101010388E-2</c:v>
                </c:pt>
                <c:pt idx="27">
                  <c:v>1.0101010101010388E-2</c:v>
                </c:pt>
                <c:pt idx="28">
                  <c:v>1.0101010101010388E-2</c:v>
                </c:pt>
                <c:pt idx="29">
                  <c:v>1.0101010101010388E-2</c:v>
                </c:pt>
                <c:pt idx="30">
                  <c:v>1.0101010101010388E-2</c:v>
                </c:pt>
                <c:pt idx="31">
                  <c:v>1.0101010101010388E-2</c:v>
                </c:pt>
                <c:pt idx="32">
                  <c:v>1.0101010101010388E-2</c:v>
                </c:pt>
                <c:pt idx="33">
                  <c:v>1.0101010101010388E-2</c:v>
                </c:pt>
                <c:pt idx="34">
                  <c:v>1.0101010101010388E-2</c:v>
                </c:pt>
                <c:pt idx="35">
                  <c:v>1.0101010101010388E-2</c:v>
                </c:pt>
                <c:pt idx="36">
                  <c:v>1.0101010101010388E-2</c:v>
                </c:pt>
                <c:pt idx="37">
                  <c:v>1.0101010101010388E-2</c:v>
                </c:pt>
                <c:pt idx="38">
                  <c:v>1.0101010101010388E-2</c:v>
                </c:pt>
                <c:pt idx="39">
                  <c:v>1.0101010101010388E-2</c:v>
                </c:pt>
                <c:pt idx="40">
                  <c:v>1.0101010101010388E-2</c:v>
                </c:pt>
                <c:pt idx="41">
                  <c:v>1.0101010101010388E-2</c:v>
                </c:pt>
                <c:pt idx="42">
                  <c:v>1.0101010101010388E-2</c:v>
                </c:pt>
                <c:pt idx="43">
                  <c:v>1.0101010101010388E-2</c:v>
                </c:pt>
                <c:pt idx="44">
                  <c:v>1.0101010101010388E-2</c:v>
                </c:pt>
                <c:pt idx="45">
                  <c:v>1.0101010101010388E-2</c:v>
                </c:pt>
                <c:pt idx="46">
                  <c:v>1.0101010101010388E-2</c:v>
                </c:pt>
                <c:pt idx="47">
                  <c:v>1.0101010101010388E-2</c:v>
                </c:pt>
                <c:pt idx="48">
                  <c:v>1.0101010101010388E-2</c:v>
                </c:pt>
                <c:pt idx="49">
                  <c:v>1.0101010101010388E-2</c:v>
                </c:pt>
                <c:pt idx="50">
                  <c:v>1.0101010101010388E-2</c:v>
                </c:pt>
                <c:pt idx="51">
                  <c:v>1.0101010101010388E-2</c:v>
                </c:pt>
                <c:pt idx="52">
                  <c:v>1.0101010101010388E-2</c:v>
                </c:pt>
                <c:pt idx="53">
                  <c:v>1.0101010101010388E-2</c:v>
                </c:pt>
                <c:pt idx="54">
                  <c:v>1.0101010101010388E-2</c:v>
                </c:pt>
                <c:pt idx="55">
                  <c:v>1.0101010101010388E-2</c:v>
                </c:pt>
                <c:pt idx="56">
                  <c:v>1.0101010101010388E-2</c:v>
                </c:pt>
                <c:pt idx="57">
                  <c:v>1.0101010101010388E-2</c:v>
                </c:pt>
                <c:pt idx="58">
                  <c:v>1.0101010101010388E-2</c:v>
                </c:pt>
                <c:pt idx="59">
                  <c:v>1.0101010101010388E-2</c:v>
                </c:pt>
                <c:pt idx="60">
                  <c:v>1.0101010101010388E-2</c:v>
                </c:pt>
                <c:pt idx="61">
                  <c:v>1.0101010101010388E-2</c:v>
                </c:pt>
                <c:pt idx="62">
                  <c:v>1.0101010101010388E-2</c:v>
                </c:pt>
                <c:pt idx="63">
                  <c:v>1.0101010101010388E-2</c:v>
                </c:pt>
                <c:pt idx="64">
                  <c:v>1.0101010101010388E-2</c:v>
                </c:pt>
                <c:pt idx="65">
                  <c:v>1.0101010101010388E-2</c:v>
                </c:pt>
                <c:pt idx="66">
                  <c:v>1.0101010101010388E-2</c:v>
                </c:pt>
                <c:pt idx="67">
                  <c:v>1.0101010101010388E-2</c:v>
                </c:pt>
                <c:pt idx="68">
                  <c:v>1.0101010101010388E-2</c:v>
                </c:pt>
                <c:pt idx="69">
                  <c:v>1.0101010101010388E-2</c:v>
                </c:pt>
                <c:pt idx="70">
                  <c:v>1.0101010101010388E-2</c:v>
                </c:pt>
                <c:pt idx="71">
                  <c:v>1.0101010101010388E-2</c:v>
                </c:pt>
                <c:pt idx="72">
                  <c:v>1.0101010101010388E-2</c:v>
                </c:pt>
                <c:pt idx="73">
                  <c:v>1.0101010101010388E-2</c:v>
                </c:pt>
                <c:pt idx="74">
                  <c:v>1.0101010101010388E-2</c:v>
                </c:pt>
                <c:pt idx="75">
                  <c:v>1.0101010101010388E-2</c:v>
                </c:pt>
                <c:pt idx="76">
                  <c:v>1.0101010101010388E-2</c:v>
                </c:pt>
                <c:pt idx="77">
                  <c:v>1.0101010101010388E-2</c:v>
                </c:pt>
                <c:pt idx="78">
                  <c:v>1.0101010101010388E-2</c:v>
                </c:pt>
                <c:pt idx="79">
                  <c:v>1.0101010101010388E-2</c:v>
                </c:pt>
                <c:pt idx="80">
                  <c:v>1.0101010101010388E-2</c:v>
                </c:pt>
                <c:pt idx="81">
                  <c:v>1.0101010101010388E-2</c:v>
                </c:pt>
                <c:pt idx="82">
                  <c:v>1.0101010101010388E-2</c:v>
                </c:pt>
                <c:pt idx="83">
                  <c:v>1.0101010101010388E-2</c:v>
                </c:pt>
                <c:pt idx="84">
                  <c:v>1.0101010101010388E-2</c:v>
                </c:pt>
                <c:pt idx="85">
                  <c:v>1.0101010101010388E-2</c:v>
                </c:pt>
                <c:pt idx="86">
                  <c:v>1.0101010101010388E-2</c:v>
                </c:pt>
                <c:pt idx="87">
                  <c:v>1.0101010101010388E-2</c:v>
                </c:pt>
                <c:pt idx="88">
                  <c:v>1.0101010101010388E-2</c:v>
                </c:pt>
                <c:pt idx="89">
                  <c:v>1.0101010101010388E-2</c:v>
                </c:pt>
                <c:pt idx="90">
                  <c:v>1.0101010101010388E-2</c:v>
                </c:pt>
                <c:pt idx="91">
                  <c:v>1.0101010101010388E-2</c:v>
                </c:pt>
                <c:pt idx="92">
                  <c:v>1.0101010101010388E-2</c:v>
                </c:pt>
                <c:pt idx="93">
                  <c:v>1.0101010101010388E-2</c:v>
                </c:pt>
                <c:pt idx="94">
                  <c:v>1.0101010101010388E-2</c:v>
                </c:pt>
                <c:pt idx="95">
                  <c:v>1.0101010101010388E-2</c:v>
                </c:pt>
                <c:pt idx="96">
                  <c:v>1.0101010101010388E-2</c:v>
                </c:pt>
                <c:pt idx="97">
                  <c:v>1.0101010101010388E-2</c:v>
                </c:pt>
                <c:pt idx="98">
                  <c:v>1.0101010101010388E-2</c:v>
                </c:pt>
                <c:pt idx="99">
                  <c:v>1.0101010101010388E-2</c:v>
                </c:pt>
              </c:numCache>
            </c:numRef>
          </c:val>
        </c:ser>
        <c:axId val="216593152"/>
        <c:axId val="216594688"/>
      </c:areaChart>
      <c:catAx>
        <c:axId val="216593152"/>
        <c:scaling>
          <c:orientation val="minMax"/>
        </c:scaling>
        <c:axPos val="b"/>
        <c:numFmt formatCode="0\ &quot;días&quot;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16594688"/>
        <c:crossesAt val="0"/>
        <c:lblAlgn val="ctr"/>
        <c:lblOffset val="100"/>
        <c:tickLblSkip val="1"/>
        <c:tickMarkSkip val="50"/>
      </c:catAx>
      <c:valAx>
        <c:axId val="216594688"/>
        <c:scaling>
          <c:orientation val="minMax"/>
          <c:min val="0"/>
        </c:scaling>
        <c:axPos val="l"/>
        <c:title>
          <c:tx>
            <c:rich>
              <a:bodyPr/>
              <a:lstStyle/>
              <a:p>
                <a:pPr>
                  <a:defRPr sz="7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Probability</a:t>
                </a:r>
              </a:p>
            </c:rich>
          </c:tx>
          <c:layout>
            <c:manualLayout>
              <c:xMode val="edge"/>
              <c:yMode val="edge"/>
              <c:x val="2.3443060806826458E-2"/>
              <c:y val="0.2420414114902304"/>
            </c:manualLayout>
          </c:layout>
        </c:title>
        <c:numFmt formatCode="0.00" sourceLinked="1"/>
        <c:maj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1659315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zero"/>
  </c:chart>
  <c:spPr>
    <a:solidFill>
      <a:srgbClr val="E3E3E3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>
      <c:oddHeader>&amp;A</c:oddHeader>
      <c:oddFooter>Page &amp;P</c:oddFooter>
    </c:headerFooter>
    <c:pageMargins b="1" l="0.75000000000000056" r="0.75000000000000056" t="1" header="0.5" footer="0.5"/>
    <c:pageSetup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Gastos de Administración</a:t>
            </a:r>
          </a:p>
        </c:rich>
      </c:tx>
      <c:layout>
        <c:manualLayout>
          <c:xMode val="edge"/>
          <c:yMode val="edge"/>
          <c:x val="0.16187496386740205"/>
          <c:y val="3.9360746573344998E-2"/>
        </c:manualLayout>
      </c:layout>
    </c:title>
    <c:plotArea>
      <c:layout>
        <c:manualLayout>
          <c:xMode val="edge"/>
          <c:yMode val="edge"/>
          <c:x val="2.3443228852523187E-2"/>
          <c:y val="0.19680204426186448"/>
          <c:w val="0.96483515672121511"/>
          <c:h val="0.78351775131194856"/>
        </c:manualLayout>
      </c:layout>
      <c:areaChart>
        <c:grouping val="standard"/>
        <c:ser>
          <c:idx val="0"/>
          <c:order val="0"/>
          <c:spPr>
            <a:solidFill>
              <a:srgbClr val="008000"/>
            </a:solidFill>
            <a:ln w="25400">
              <a:noFill/>
            </a:ln>
          </c:spPr>
          <c:cat>
            <c:numRef>
              <c:f>Report!$AC$5:$AC$104</c:f>
              <c:numCache>
                <c:formatCode>General</c:formatCode>
                <c:ptCount val="100"/>
                <c:pt idx="0" formatCode="\ #,##0\ ;\ \-#,##0\ ">
                  <c:v>80000</c:v>
                </c:pt>
                <c:pt idx="99" formatCode="\ #,##0\ ;\ \-#,##0\ ">
                  <c:v>105000</c:v>
                </c:pt>
              </c:numCache>
            </c:numRef>
          </c:cat>
          <c:val>
            <c:numRef>
              <c:f>Report!$AD$5:$AD$104</c:f>
              <c:numCache>
                <c:formatCode>0.00</c:formatCode>
                <c:ptCount val="100"/>
                <c:pt idx="0">
                  <c:v>1.0101010101010326E-2</c:v>
                </c:pt>
                <c:pt idx="1">
                  <c:v>1.0101010101010326E-2</c:v>
                </c:pt>
                <c:pt idx="2">
                  <c:v>1.0101010101010326E-2</c:v>
                </c:pt>
                <c:pt idx="3">
                  <c:v>1.0101010101010322E-2</c:v>
                </c:pt>
                <c:pt idx="4">
                  <c:v>1.0101010101010319E-2</c:v>
                </c:pt>
                <c:pt idx="5">
                  <c:v>1.0101010101010326E-2</c:v>
                </c:pt>
                <c:pt idx="6">
                  <c:v>1.0101010101010333E-2</c:v>
                </c:pt>
                <c:pt idx="7">
                  <c:v>1.0101010101010319E-2</c:v>
                </c:pt>
                <c:pt idx="8">
                  <c:v>1.0101010101010333E-2</c:v>
                </c:pt>
                <c:pt idx="9">
                  <c:v>1.0101010101010319E-2</c:v>
                </c:pt>
                <c:pt idx="10">
                  <c:v>1.0101010101010333E-2</c:v>
                </c:pt>
                <c:pt idx="11">
                  <c:v>1.0101010101010319E-2</c:v>
                </c:pt>
                <c:pt idx="12">
                  <c:v>1.0101010101010333E-2</c:v>
                </c:pt>
                <c:pt idx="13">
                  <c:v>1.0101010101010333E-2</c:v>
                </c:pt>
                <c:pt idx="14">
                  <c:v>1.0101010101010305E-2</c:v>
                </c:pt>
                <c:pt idx="15">
                  <c:v>1.0101010101010333E-2</c:v>
                </c:pt>
                <c:pt idx="16">
                  <c:v>1.0101010101010333E-2</c:v>
                </c:pt>
                <c:pt idx="17">
                  <c:v>1.0101010101010333E-2</c:v>
                </c:pt>
                <c:pt idx="18">
                  <c:v>1.0101010101010305E-2</c:v>
                </c:pt>
                <c:pt idx="19">
                  <c:v>1.0101010101010333E-2</c:v>
                </c:pt>
                <c:pt idx="20">
                  <c:v>1.0101010101010333E-2</c:v>
                </c:pt>
                <c:pt idx="21">
                  <c:v>1.0101010101010333E-2</c:v>
                </c:pt>
                <c:pt idx="22">
                  <c:v>1.0101010101010305E-2</c:v>
                </c:pt>
                <c:pt idx="23">
                  <c:v>1.0101010101010333E-2</c:v>
                </c:pt>
                <c:pt idx="24">
                  <c:v>1.0101010101010333E-2</c:v>
                </c:pt>
                <c:pt idx="25">
                  <c:v>1.0101010101010305E-2</c:v>
                </c:pt>
                <c:pt idx="26">
                  <c:v>1.0101010101010333E-2</c:v>
                </c:pt>
                <c:pt idx="27">
                  <c:v>1.0101010101010333E-2</c:v>
                </c:pt>
                <c:pt idx="28">
                  <c:v>1.0101010101010277E-2</c:v>
                </c:pt>
                <c:pt idx="29">
                  <c:v>1.0101010101010333E-2</c:v>
                </c:pt>
                <c:pt idx="30">
                  <c:v>1.0101010101010333E-2</c:v>
                </c:pt>
                <c:pt idx="31">
                  <c:v>1.0101010101010333E-2</c:v>
                </c:pt>
                <c:pt idx="32">
                  <c:v>1.0101010101010277E-2</c:v>
                </c:pt>
                <c:pt idx="33">
                  <c:v>1.0101010101010333E-2</c:v>
                </c:pt>
                <c:pt idx="34">
                  <c:v>1.0101010101010333E-2</c:v>
                </c:pt>
                <c:pt idx="35">
                  <c:v>1.0101010101010277E-2</c:v>
                </c:pt>
                <c:pt idx="36">
                  <c:v>1.0101010101010333E-2</c:v>
                </c:pt>
                <c:pt idx="37">
                  <c:v>1.0101010101010333E-2</c:v>
                </c:pt>
                <c:pt idx="38">
                  <c:v>1.0101010101010333E-2</c:v>
                </c:pt>
                <c:pt idx="39">
                  <c:v>1.0101010101010333E-2</c:v>
                </c:pt>
                <c:pt idx="40">
                  <c:v>1.0101010101010333E-2</c:v>
                </c:pt>
                <c:pt idx="41">
                  <c:v>1.0101010101010333E-2</c:v>
                </c:pt>
                <c:pt idx="42">
                  <c:v>1.0101010101010333E-2</c:v>
                </c:pt>
                <c:pt idx="43">
                  <c:v>1.0101010101010333E-2</c:v>
                </c:pt>
                <c:pt idx="44">
                  <c:v>1.0101010101010277E-2</c:v>
                </c:pt>
                <c:pt idx="45">
                  <c:v>1.0101010101010333E-2</c:v>
                </c:pt>
                <c:pt idx="46">
                  <c:v>1.0101010101010333E-2</c:v>
                </c:pt>
                <c:pt idx="47">
                  <c:v>1.0101010101010277E-2</c:v>
                </c:pt>
                <c:pt idx="48">
                  <c:v>1.0101010101010333E-2</c:v>
                </c:pt>
                <c:pt idx="49">
                  <c:v>1.0101010101010277E-2</c:v>
                </c:pt>
                <c:pt idx="50">
                  <c:v>1.0101010101010388E-2</c:v>
                </c:pt>
                <c:pt idx="51">
                  <c:v>1.0101010101010277E-2</c:v>
                </c:pt>
                <c:pt idx="52">
                  <c:v>1.0101010101010277E-2</c:v>
                </c:pt>
                <c:pt idx="53">
                  <c:v>1.0101010101010388E-2</c:v>
                </c:pt>
                <c:pt idx="54">
                  <c:v>1.0101010101010277E-2</c:v>
                </c:pt>
                <c:pt idx="55">
                  <c:v>1.0101010101010277E-2</c:v>
                </c:pt>
                <c:pt idx="56">
                  <c:v>1.0101010101010388E-2</c:v>
                </c:pt>
                <c:pt idx="57">
                  <c:v>1.0101010101010277E-2</c:v>
                </c:pt>
                <c:pt idx="58">
                  <c:v>1.0101010101010388E-2</c:v>
                </c:pt>
                <c:pt idx="59">
                  <c:v>1.0101010101010388E-2</c:v>
                </c:pt>
                <c:pt idx="60">
                  <c:v>1.0101010101010277E-2</c:v>
                </c:pt>
                <c:pt idx="61">
                  <c:v>1.0101010101010388E-2</c:v>
                </c:pt>
                <c:pt idx="62">
                  <c:v>1.0101010101010388E-2</c:v>
                </c:pt>
                <c:pt idx="63">
                  <c:v>1.0101010101010277E-2</c:v>
                </c:pt>
                <c:pt idx="64">
                  <c:v>1.0101010101010277E-2</c:v>
                </c:pt>
                <c:pt idx="65">
                  <c:v>1.0101010101010388E-2</c:v>
                </c:pt>
                <c:pt idx="66">
                  <c:v>1.0101010101010277E-2</c:v>
                </c:pt>
                <c:pt idx="67">
                  <c:v>1.0101010101010277E-2</c:v>
                </c:pt>
                <c:pt idx="68">
                  <c:v>1.0101010101010388E-2</c:v>
                </c:pt>
                <c:pt idx="69">
                  <c:v>1.0101010101010277E-2</c:v>
                </c:pt>
                <c:pt idx="70">
                  <c:v>1.0101010101010388E-2</c:v>
                </c:pt>
                <c:pt idx="71">
                  <c:v>1.0101010101010277E-2</c:v>
                </c:pt>
                <c:pt idx="72">
                  <c:v>1.0101010101010277E-2</c:v>
                </c:pt>
                <c:pt idx="73">
                  <c:v>1.0101010101010388E-2</c:v>
                </c:pt>
                <c:pt idx="74">
                  <c:v>1.0101010101010277E-2</c:v>
                </c:pt>
                <c:pt idx="75">
                  <c:v>1.0101010101010277E-2</c:v>
                </c:pt>
                <c:pt idx="76">
                  <c:v>1.0101010101010388E-2</c:v>
                </c:pt>
                <c:pt idx="77">
                  <c:v>1.0101010101010388E-2</c:v>
                </c:pt>
                <c:pt idx="78">
                  <c:v>1.0101010101010277E-2</c:v>
                </c:pt>
                <c:pt idx="79">
                  <c:v>1.0101010101010388E-2</c:v>
                </c:pt>
                <c:pt idx="80">
                  <c:v>1.0101010101010388E-2</c:v>
                </c:pt>
                <c:pt idx="81">
                  <c:v>1.0101010101010277E-2</c:v>
                </c:pt>
                <c:pt idx="82">
                  <c:v>1.0101010101010388E-2</c:v>
                </c:pt>
                <c:pt idx="83">
                  <c:v>1.0101010101010277E-2</c:v>
                </c:pt>
                <c:pt idx="84">
                  <c:v>1.0101010101010277E-2</c:v>
                </c:pt>
                <c:pt idx="85">
                  <c:v>1.0101010101010388E-2</c:v>
                </c:pt>
                <c:pt idx="86">
                  <c:v>1.0101010101010277E-2</c:v>
                </c:pt>
                <c:pt idx="87">
                  <c:v>1.0101010101010277E-2</c:v>
                </c:pt>
                <c:pt idx="88">
                  <c:v>1.0101010101010388E-2</c:v>
                </c:pt>
                <c:pt idx="89">
                  <c:v>1.0101010101010277E-2</c:v>
                </c:pt>
                <c:pt idx="90">
                  <c:v>1.0101010101010277E-2</c:v>
                </c:pt>
                <c:pt idx="91">
                  <c:v>1.0101010101010388E-2</c:v>
                </c:pt>
                <c:pt idx="92">
                  <c:v>1.0101010101010277E-2</c:v>
                </c:pt>
                <c:pt idx="93">
                  <c:v>1.0101010101010277E-2</c:v>
                </c:pt>
                <c:pt idx="94">
                  <c:v>1.0101010101010388E-2</c:v>
                </c:pt>
                <c:pt idx="95">
                  <c:v>1.0101010101010277E-2</c:v>
                </c:pt>
                <c:pt idx="96">
                  <c:v>1.0101010101010277E-2</c:v>
                </c:pt>
                <c:pt idx="97">
                  <c:v>1.0101010101010388E-2</c:v>
                </c:pt>
                <c:pt idx="98">
                  <c:v>1.0101010101010277E-2</c:v>
                </c:pt>
                <c:pt idx="99">
                  <c:v>1.0101010101010166E-2</c:v>
                </c:pt>
              </c:numCache>
            </c:numRef>
          </c:val>
        </c:ser>
        <c:axId val="216614784"/>
        <c:axId val="216616320"/>
      </c:areaChart>
      <c:catAx>
        <c:axId val="216614784"/>
        <c:scaling>
          <c:orientation val="minMax"/>
        </c:scaling>
        <c:axPos val="b"/>
        <c:numFmt formatCode="\ #,##0\ ;\ \-#,##0\ 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16616320"/>
        <c:crossesAt val="0"/>
        <c:lblAlgn val="ctr"/>
        <c:lblOffset val="100"/>
        <c:tickLblSkip val="1"/>
        <c:tickMarkSkip val="100"/>
      </c:catAx>
      <c:valAx>
        <c:axId val="216616320"/>
        <c:scaling>
          <c:orientation val="minMax"/>
          <c:min val="0"/>
        </c:scaling>
        <c:axPos val="l"/>
        <c:title>
          <c:tx>
            <c:rich>
              <a:bodyPr/>
              <a:lstStyle/>
              <a:p>
                <a:pPr>
                  <a:defRPr sz="7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Probability</a:t>
                </a:r>
              </a:p>
            </c:rich>
          </c:tx>
          <c:layout>
            <c:manualLayout>
              <c:xMode val="edge"/>
              <c:yMode val="edge"/>
              <c:x val="2.3443060806826458E-2"/>
              <c:y val="0.30466958296879559"/>
            </c:manualLayout>
          </c:layout>
        </c:title>
        <c:numFmt formatCode="0.00" sourceLinked="1"/>
        <c:maj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1661478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zero"/>
  </c:chart>
  <c:spPr>
    <a:solidFill>
      <a:srgbClr val="E3E3E3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>
      <c:oddHeader>&amp;A</c:oddHeader>
      <c:oddFooter>Page &amp;P</c:oddFooter>
    </c:headerFooter>
    <c:pageMargins b="1" l="0.75000000000000056" r="0.75000000000000056" t="1" header="0.5" footer="0.5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Gastos de Ventas</a:t>
            </a:r>
          </a:p>
        </c:rich>
      </c:tx>
      <c:layout>
        <c:manualLayout>
          <c:xMode val="edge"/>
          <c:yMode val="edge"/>
          <c:x val="0.25879866338293617"/>
          <c:y val="3.9360746573344998E-2"/>
        </c:manualLayout>
      </c:layout>
    </c:title>
    <c:plotArea>
      <c:layout>
        <c:manualLayout>
          <c:xMode val="edge"/>
          <c:yMode val="edge"/>
          <c:x val="2.3443228852523187E-2"/>
          <c:y val="0.19680204426186448"/>
          <c:w val="0.96483515672121511"/>
          <c:h val="0.78351775131194856"/>
        </c:manualLayout>
      </c:layout>
      <c:areaChart>
        <c:grouping val="standard"/>
        <c:ser>
          <c:idx val="0"/>
          <c:order val="0"/>
          <c:spPr>
            <a:solidFill>
              <a:srgbClr val="008000"/>
            </a:solidFill>
            <a:ln w="25400">
              <a:noFill/>
            </a:ln>
          </c:spPr>
          <c:cat>
            <c:numRef>
              <c:f>Report!$AF$5:$AF$104</c:f>
              <c:numCache>
                <c:formatCode>General</c:formatCode>
                <c:ptCount val="100"/>
                <c:pt idx="0" formatCode="0%">
                  <c:v>0.03</c:v>
                </c:pt>
                <c:pt idx="14" formatCode="0%">
                  <c:v>3.4242424242424241E-2</c:v>
                </c:pt>
                <c:pt idx="28" formatCode="0%">
                  <c:v>3.8484848484848483E-2</c:v>
                </c:pt>
                <c:pt idx="42" formatCode="0%">
                  <c:v>4.2727272727272725E-2</c:v>
                </c:pt>
                <c:pt idx="56" formatCode="0%">
                  <c:v>4.6969696969696967E-2</c:v>
                </c:pt>
                <c:pt idx="70" formatCode="0%">
                  <c:v>5.1212121212121209E-2</c:v>
                </c:pt>
                <c:pt idx="84" formatCode="0%">
                  <c:v>5.5454545454545451E-2</c:v>
                </c:pt>
                <c:pt idx="99" formatCode="0%">
                  <c:v>0.06</c:v>
                </c:pt>
              </c:numCache>
            </c:numRef>
          </c:cat>
          <c:val>
            <c:numRef>
              <c:f>Report!$AG$5:$AG$104</c:f>
              <c:numCache>
                <c:formatCode>0.00</c:formatCode>
                <c:ptCount val="100"/>
                <c:pt idx="0">
                  <c:v>1.0101010101010166E-2</c:v>
                </c:pt>
                <c:pt idx="1">
                  <c:v>1.0101010101010166E-2</c:v>
                </c:pt>
                <c:pt idx="2">
                  <c:v>1.0101010101010166E-2</c:v>
                </c:pt>
                <c:pt idx="3">
                  <c:v>1.0101010101010166E-2</c:v>
                </c:pt>
                <c:pt idx="4">
                  <c:v>1.0101010101010166E-2</c:v>
                </c:pt>
                <c:pt idx="5">
                  <c:v>1.0101010101010166E-2</c:v>
                </c:pt>
                <c:pt idx="6">
                  <c:v>1.0101010101010166E-2</c:v>
                </c:pt>
                <c:pt idx="7">
                  <c:v>1.0101010101010166E-2</c:v>
                </c:pt>
                <c:pt idx="8">
                  <c:v>1.0101010101010166E-2</c:v>
                </c:pt>
                <c:pt idx="9">
                  <c:v>1.0101010101010166E-2</c:v>
                </c:pt>
                <c:pt idx="10">
                  <c:v>1.010101010101018E-2</c:v>
                </c:pt>
                <c:pt idx="11">
                  <c:v>1.0101010101010166E-2</c:v>
                </c:pt>
                <c:pt idx="12">
                  <c:v>1.0101010101010152E-2</c:v>
                </c:pt>
                <c:pt idx="13">
                  <c:v>1.0101010101010166E-2</c:v>
                </c:pt>
                <c:pt idx="14">
                  <c:v>1.0101010101010166E-2</c:v>
                </c:pt>
                <c:pt idx="15">
                  <c:v>1.0101010101010166E-2</c:v>
                </c:pt>
                <c:pt idx="16">
                  <c:v>1.0101010101010166E-2</c:v>
                </c:pt>
                <c:pt idx="17">
                  <c:v>1.0101010101010166E-2</c:v>
                </c:pt>
                <c:pt idx="18">
                  <c:v>1.0101010101010166E-2</c:v>
                </c:pt>
                <c:pt idx="19">
                  <c:v>1.0101010101010166E-2</c:v>
                </c:pt>
                <c:pt idx="20">
                  <c:v>1.0101010101010166E-2</c:v>
                </c:pt>
                <c:pt idx="21">
                  <c:v>1.0101010101010166E-2</c:v>
                </c:pt>
                <c:pt idx="22">
                  <c:v>1.0101010101010166E-2</c:v>
                </c:pt>
                <c:pt idx="23">
                  <c:v>1.0101010101010166E-2</c:v>
                </c:pt>
                <c:pt idx="24">
                  <c:v>1.0101010101010166E-2</c:v>
                </c:pt>
                <c:pt idx="25">
                  <c:v>1.0101010101010166E-2</c:v>
                </c:pt>
                <c:pt idx="26">
                  <c:v>1.0101010101010166E-2</c:v>
                </c:pt>
                <c:pt idx="27">
                  <c:v>1.0101010101010166E-2</c:v>
                </c:pt>
                <c:pt idx="28">
                  <c:v>1.0101010101010166E-2</c:v>
                </c:pt>
                <c:pt idx="29">
                  <c:v>1.0101010101010166E-2</c:v>
                </c:pt>
                <c:pt idx="30">
                  <c:v>1.0101010101010166E-2</c:v>
                </c:pt>
                <c:pt idx="31">
                  <c:v>1.0101010101010166E-2</c:v>
                </c:pt>
                <c:pt idx="32">
                  <c:v>1.0101010101010166E-2</c:v>
                </c:pt>
                <c:pt idx="33">
                  <c:v>1.0101010101010166E-2</c:v>
                </c:pt>
                <c:pt idx="34">
                  <c:v>1.0101010101010166E-2</c:v>
                </c:pt>
                <c:pt idx="35">
                  <c:v>1.0101010101010166E-2</c:v>
                </c:pt>
                <c:pt idx="36">
                  <c:v>1.0101010101010166E-2</c:v>
                </c:pt>
                <c:pt idx="37">
                  <c:v>1.0101010101010166E-2</c:v>
                </c:pt>
                <c:pt idx="38">
                  <c:v>1.0101010101010166E-2</c:v>
                </c:pt>
                <c:pt idx="39">
                  <c:v>1.0101010101010166E-2</c:v>
                </c:pt>
                <c:pt idx="40">
                  <c:v>1.0101010101010166E-2</c:v>
                </c:pt>
                <c:pt idx="41">
                  <c:v>1.0101010101010166E-2</c:v>
                </c:pt>
                <c:pt idx="42">
                  <c:v>1.0101010101010166E-2</c:v>
                </c:pt>
                <c:pt idx="43">
                  <c:v>1.0101010101010166E-2</c:v>
                </c:pt>
                <c:pt idx="44">
                  <c:v>1.0101010101010166E-2</c:v>
                </c:pt>
                <c:pt idx="45">
                  <c:v>1.0101010101010166E-2</c:v>
                </c:pt>
                <c:pt idx="46">
                  <c:v>1.0101010101010166E-2</c:v>
                </c:pt>
                <c:pt idx="47">
                  <c:v>1.0101010101010166E-2</c:v>
                </c:pt>
                <c:pt idx="48">
                  <c:v>1.0101010101010166E-2</c:v>
                </c:pt>
                <c:pt idx="49">
                  <c:v>1.0101010101010166E-2</c:v>
                </c:pt>
                <c:pt idx="50">
                  <c:v>1.0101010101010166E-2</c:v>
                </c:pt>
                <c:pt idx="51">
                  <c:v>1.0101010101010166E-2</c:v>
                </c:pt>
                <c:pt idx="52">
                  <c:v>1.0101010101010166E-2</c:v>
                </c:pt>
                <c:pt idx="53">
                  <c:v>1.0101010101010166E-2</c:v>
                </c:pt>
                <c:pt idx="54">
                  <c:v>1.0101010101010166E-2</c:v>
                </c:pt>
                <c:pt idx="55">
                  <c:v>1.0101010101010166E-2</c:v>
                </c:pt>
                <c:pt idx="56">
                  <c:v>1.0101010101010166E-2</c:v>
                </c:pt>
                <c:pt idx="57">
                  <c:v>1.0101010101010166E-2</c:v>
                </c:pt>
                <c:pt idx="58">
                  <c:v>1.0101010101010166E-2</c:v>
                </c:pt>
                <c:pt idx="59">
                  <c:v>1.0101010101010166E-2</c:v>
                </c:pt>
                <c:pt idx="60">
                  <c:v>1.0101010101010166E-2</c:v>
                </c:pt>
                <c:pt idx="61">
                  <c:v>1.0101010101010166E-2</c:v>
                </c:pt>
                <c:pt idx="62">
                  <c:v>1.0101010101010166E-2</c:v>
                </c:pt>
                <c:pt idx="63">
                  <c:v>1.0101010101010166E-2</c:v>
                </c:pt>
                <c:pt idx="64">
                  <c:v>1.0101010101010166E-2</c:v>
                </c:pt>
                <c:pt idx="65">
                  <c:v>1.0101010101010166E-2</c:v>
                </c:pt>
                <c:pt idx="66">
                  <c:v>1.0101010101010166E-2</c:v>
                </c:pt>
                <c:pt idx="67">
                  <c:v>1.0101010101010166E-2</c:v>
                </c:pt>
                <c:pt idx="68">
                  <c:v>1.0101010101010166E-2</c:v>
                </c:pt>
                <c:pt idx="69">
                  <c:v>1.0101010101010166E-2</c:v>
                </c:pt>
                <c:pt idx="70">
                  <c:v>1.0101010101010166E-2</c:v>
                </c:pt>
                <c:pt idx="71">
                  <c:v>1.0101010101010166E-2</c:v>
                </c:pt>
                <c:pt idx="72">
                  <c:v>1.0101010101010166E-2</c:v>
                </c:pt>
                <c:pt idx="73">
                  <c:v>1.0101010101010166E-2</c:v>
                </c:pt>
                <c:pt idx="74">
                  <c:v>1.0101010101010166E-2</c:v>
                </c:pt>
                <c:pt idx="75">
                  <c:v>1.0101010101010166E-2</c:v>
                </c:pt>
                <c:pt idx="76">
                  <c:v>1.0101010101010166E-2</c:v>
                </c:pt>
                <c:pt idx="77">
                  <c:v>1.0101010101010166E-2</c:v>
                </c:pt>
                <c:pt idx="78">
                  <c:v>1.0101010101010166E-2</c:v>
                </c:pt>
                <c:pt idx="79">
                  <c:v>1.0101010101010166E-2</c:v>
                </c:pt>
                <c:pt idx="80">
                  <c:v>1.0101010101010166E-2</c:v>
                </c:pt>
                <c:pt idx="81">
                  <c:v>1.0101010101010166E-2</c:v>
                </c:pt>
                <c:pt idx="82">
                  <c:v>1.0101010101010166E-2</c:v>
                </c:pt>
                <c:pt idx="83">
                  <c:v>1.0101010101010166E-2</c:v>
                </c:pt>
                <c:pt idx="84">
                  <c:v>1.0101010101010166E-2</c:v>
                </c:pt>
                <c:pt idx="85">
                  <c:v>1.0101010101010166E-2</c:v>
                </c:pt>
                <c:pt idx="86">
                  <c:v>1.0101010101010166E-2</c:v>
                </c:pt>
                <c:pt idx="87">
                  <c:v>1.0101010101010166E-2</c:v>
                </c:pt>
                <c:pt idx="88">
                  <c:v>1.0101010101010166E-2</c:v>
                </c:pt>
                <c:pt idx="89">
                  <c:v>1.0101010101010166E-2</c:v>
                </c:pt>
                <c:pt idx="90">
                  <c:v>1.0101010101010277E-2</c:v>
                </c:pt>
                <c:pt idx="91">
                  <c:v>1.0101010101010166E-2</c:v>
                </c:pt>
                <c:pt idx="92">
                  <c:v>1.0101010101010166E-2</c:v>
                </c:pt>
                <c:pt idx="93">
                  <c:v>1.0101010101010166E-2</c:v>
                </c:pt>
                <c:pt idx="94">
                  <c:v>1.0101010101010166E-2</c:v>
                </c:pt>
                <c:pt idx="95">
                  <c:v>1.0101010101010166E-2</c:v>
                </c:pt>
                <c:pt idx="96">
                  <c:v>1.0101010101010166E-2</c:v>
                </c:pt>
                <c:pt idx="97">
                  <c:v>1.0101010101010166E-2</c:v>
                </c:pt>
                <c:pt idx="98">
                  <c:v>1.0101010101010166E-2</c:v>
                </c:pt>
                <c:pt idx="99">
                  <c:v>1.0101010101010166E-2</c:v>
                </c:pt>
              </c:numCache>
            </c:numRef>
          </c:val>
        </c:ser>
        <c:axId val="216644608"/>
        <c:axId val="216728320"/>
      </c:areaChart>
      <c:catAx>
        <c:axId val="216644608"/>
        <c:scaling>
          <c:orientation val="minMax"/>
        </c:scaling>
        <c:axPos val="b"/>
        <c:numFmt formatCode="0%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16728320"/>
        <c:crossesAt val="0"/>
        <c:lblAlgn val="ctr"/>
        <c:lblOffset val="100"/>
        <c:tickLblSkip val="1"/>
        <c:tickMarkSkip val="14"/>
      </c:catAx>
      <c:valAx>
        <c:axId val="216728320"/>
        <c:scaling>
          <c:orientation val="minMax"/>
          <c:min val="0"/>
        </c:scaling>
        <c:axPos val="l"/>
        <c:title>
          <c:tx>
            <c:rich>
              <a:bodyPr/>
              <a:lstStyle/>
              <a:p>
                <a:pPr>
                  <a:defRPr sz="7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Probability</a:t>
                </a:r>
              </a:p>
            </c:rich>
          </c:tx>
          <c:layout>
            <c:manualLayout>
              <c:xMode val="edge"/>
              <c:yMode val="edge"/>
              <c:x val="2.3443060806826458E-2"/>
              <c:y val="0.25943034898415473"/>
            </c:manualLayout>
          </c:layout>
        </c:title>
        <c:numFmt formatCode="0.00" sourceLinked="1"/>
        <c:maj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1664460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zero"/>
  </c:chart>
  <c:spPr>
    <a:solidFill>
      <a:srgbClr val="E3E3E3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>
      <c:oddHeader>&amp;A</c:oddHeader>
      <c:oddFooter>Page &amp;P</c:oddFooter>
    </c:headerFooter>
    <c:pageMargins b="1" l="0.75000000000000056" r="0.75000000000000056" t="1" header="0.5" footer="0.5"/>
    <c:pageSetup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Tasa de Interés Nominal</a:t>
            </a:r>
          </a:p>
        </c:rich>
      </c:tx>
      <c:layout>
        <c:manualLayout>
          <c:xMode val="edge"/>
          <c:yMode val="edge"/>
          <c:x val="0.17594089285094869"/>
          <c:y val="3.9360746573344998E-2"/>
        </c:manualLayout>
      </c:layout>
    </c:title>
    <c:plotArea>
      <c:layout>
        <c:manualLayout>
          <c:xMode val="edge"/>
          <c:yMode val="edge"/>
          <c:x val="2.3443228852523187E-2"/>
          <c:y val="0.19680204426186448"/>
          <c:w val="0.96483515672121511"/>
          <c:h val="0.78351775131194856"/>
        </c:manualLayout>
      </c:layout>
      <c:areaChart>
        <c:grouping val="standard"/>
        <c:ser>
          <c:idx val="0"/>
          <c:order val="0"/>
          <c:spPr>
            <a:solidFill>
              <a:srgbClr val="008000"/>
            </a:solidFill>
            <a:ln w="25400">
              <a:noFill/>
            </a:ln>
          </c:spPr>
          <c:cat>
            <c:numRef>
              <c:f>Report!$AI$5:$AI$104</c:f>
              <c:numCache>
                <c:formatCode>General</c:formatCode>
                <c:ptCount val="100"/>
                <c:pt idx="0" formatCode="0.00%">
                  <c:v>9.5000000000000001E-2</c:v>
                </c:pt>
                <c:pt idx="33" formatCode="0.00%">
                  <c:v>0.13666666666666666</c:v>
                </c:pt>
                <c:pt idx="66" formatCode="0.00%">
                  <c:v>0.17833333333333334</c:v>
                </c:pt>
                <c:pt idx="99" formatCode="0.00%">
                  <c:v>0.22</c:v>
                </c:pt>
              </c:numCache>
            </c:numRef>
          </c:cat>
          <c:val>
            <c:numRef>
              <c:f>Report!$AJ$5:$AJ$104</c:f>
              <c:numCache>
                <c:formatCode>0.00</c:formatCode>
                <c:ptCount val="100"/>
                <c:pt idx="0">
                  <c:v>2.5507601265177359E-4</c:v>
                </c:pt>
                <c:pt idx="1">
                  <c:v>1.0203040506070831E-3</c:v>
                </c:pt>
                <c:pt idx="2">
                  <c:v>2.040608101214177E-3</c:v>
                </c:pt>
                <c:pt idx="3">
                  <c:v>3.0609121518212598E-3</c:v>
                </c:pt>
                <c:pt idx="4">
                  <c:v>4.0812162024283557E-3</c:v>
                </c:pt>
                <c:pt idx="5">
                  <c:v>5.1015202530354364E-3</c:v>
                </c:pt>
                <c:pt idx="6">
                  <c:v>6.1218243036425327E-3</c:v>
                </c:pt>
                <c:pt idx="7">
                  <c:v>7.1421283542496133E-3</c:v>
                </c:pt>
                <c:pt idx="8">
                  <c:v>8.162432404856701E-3</c:v>
                </c:pt>
                <c:pt idx="9">
                  <c:v>9.1827364554637886E-3</c:v>
                </c:pt>
                <c:pt idx="10">
                  <c:v>1.0203040506070876E-2</c:v>
                </c:pt>
                <c:pt idx="11">
                  <c:v>1.1223344556677964E-2</c:v>
                </c:pt>
                <c:pt idx="12">
                  <c:v>1.2243648607285051E-2</c:v>
                </c:pt>
                <c:pt idx="13">
                  <c:v>1.3263952657892139E-2</c:v>
                </c:pt>
                <c:pt idx="14">
                  <c:v>1.4284256708499227E-2</c:v>
                </c:pt>
                <c:pt idx="15">
                  <c:v>1.5304560759106314E-2</c:v>
                </c:pt>
                <c:pt idx="16">
                  <c:v>1.6324864809713402E-2</c:v>
                </c:pt>
                <c:pt idx="17">
                  <c:v>1.7345168860320476E-2</c:v>
                </c:pt>
                <c:pt idx="18">
                  <c:v>1.8365472910927577E-2</c:v>
                </c:pt>
                <c:pt idx="19">
                  <c:v>1.9385776961534679E-2</c:v>
                </c:pt>
                <c:pt idx="20">
                  <c:v>2.0093612896643326E-2</c:v>
                </c:pt>
                <c:pt idx="21">
                  <c:v>1.9895928986838202E-2</c:v>
                </c:pt>
                <c:pt idx="22">
                  <c:v>1.9640852974186412E-2</c:v>
                </c:pt>
                <c:pt idx="23">
                  <c:v>1.9385776961534706E-2</c:v>
                </c:pt>
                <c:pt idx="24">
                  <c:v>1.913070094888264E-2</c:v>
                </c:pt>
                <c:pt idx="25">
                  <c:v>1.8875624936230684E-2</c:v>
                </c:pt>
                <c:pt idx="26">
                  <c:v>1.862054892357895E-2</c:v>
                </c:pt>
                <c:pt idx="27">
                  <c:v>1.8365472910927216E-2</c:v>
                </c:pt>
                <c:pt idx="28">
                  <c:v>1.8110396898275372E-2</c:v>
                </c:pt>
                <c:pt idx="29">
                  <c:v>1.7855320885623582E-2</c:v>
                </c:pt>
                <c:pt idx="30">
                  <c:v>1.7600244872971904E-2</c:v>
                </c:pt>
                <c:pt idx="31">
                  <c:v>1.7345168860320115E-2</c:v>
                </c:pt>
                <c:pt idx="32">
                  <c:v>1.7090092847668381E-2</c:v>
                </c:pt>
                <c:pt idx="33">
                  <c:v>1.6835016835016536E-2</c:v>
                </c:pt>
                <c:pt idx="34">
                  <c:v>1.6579940822364803E-2</c:v>
                </c:pt>
                <c:pt idx="35">
                  <c:v>1.6324864809713013E-2</c:v>
                </c:pt>
                <c:pt idx="36">
                  <c:v>1.6069788797061335E-2</c:v>
                </c:pt>
                <c:pt idx="37">
                  <c:v>1.581471278440949E-2</c:v>
                </c:pt>
                <c:pt idx="38">
                  <c:v>1.5559636771757757E-2</c:v>
                </c:pt>
                <c:pt idx="39">
                  <c:v>1.5304560759105912E-2</c:v>
                </c:pt>
                <c:pt idx="40">
                  <c:v>1.5049484746454289E-2</c:v>
                </c:pt>
                <c:pt idx="41">
                  <c:v>1.4794408733802444E-2</c:v>
                </c:pt>
                <c:pt idx="42">
                  <c:v>1.4539332721150711E-2</c:v>
                </c:pt>
                <c:pt idx="43">
                  <c:v>1.4284256708498866E-2</c:v>
                </c:pt>
                <c:pt idx="44">
                  <c:v>1.4029180695847132E-2</c:v>
                </c:pt>
                <c:pt idx="45">
                  <c:v>1.3774104683195398E-2</c:v>
                </c:pt>
                <c:pt idx="46">
                  <c:v>1.3519028670543554E-2</c:v>
                </c:pt>
                <c:pt idx="47">
                  <c:v>1.326395265789182E-2</c:v>
                </c:pt>
                <c:pt idx="48">
                  <c:v>1.3008876645240086E-2</c:v>
                </c:pt>
                <c:pt idx="49">
                  <c:v>1.2753800632588241E-2</c:v>
                </c:pt>
                <c:pt idx="50">
                  <c:v>1.2498724619936508E-2</c:v>
                </c:pt>
                <c:pt idx="51">
                  <c:v>1.2243648607284774E-2</c:v>
                </c:pt>
                <c:pt idx="52">
                  <c:v>1.198857259463304E-2</c:v>
                </c:pt>
                <c:pt idx="53">
                  <c:v>1.1733496581981195E-2</c:v>
                </c:pt>
                <c:pt idx="54">
                  <c:v>1.1478420569329462E-2</c:v>
                </c:pt>
                <c:pt idx="55">
                  <c:v>1.1223344556677728E-2</c:v>
                </c:pt>
                <c:pt idx="56">
                  <c:v>1.0968268544025994E-2</c:v>
                </c:pt>
                <c:pt idx="57">
                  <c:v>1.0713192531374149E-2</c:v>
                </c:pt>
                <c:pt idx="58">
                  <c:v>1.0458116518722416E-2</c:v>
                </c:pt>
                <c:pt idx="59">
                  <c:v>1.0203040506070571E-2</c:v>
                </c:pt>
                <c:pt idx="60">
                  <c:v>9.9479644934189482E-3</c:v>
                </c:pt>
                <c:pt idx="61">
                  <c:v>9.6928884807671034E-3</c:v>
                </c:pt>
                <c:pt idx="62">
                  <c:v>9.4378124681152586E-3</c:v>
                </c:pt>
                <c:pt idx="63">
                  <c:v>9.1827364554636359E-3</c:v>
                </c:pt>
                <c:pt idx="64">
                  <c:v>8.9276604428117912E-3</c:v>
                </c:pt>
                <c:pt idx="65">
                  <c:v>8.6725844301600574E-3</c:v>
                </c:pt>
                <c:pt idx="66">
                  <c:v>8.4175084175083237E-3</c:v>
                </c:pt>
                <c:pt idx="67">
                  <c:v>8.1624324048564789E-3</c:v>
                </c:pt>
                <c:pt idx="68">
                  <c:v>7.9073563922047452E-3</c:v>
                </c:pt>
                <c:pt idx="69">
                  <c:v>7.6522803795529004E-3</c:v>
                </c:pt>
                <c:pt idx="70">
                  <c:v>7.3972043669011667E-3</c:v>
                </c:pt>
                <c:pt idx="71">
                  <c:v>7.142128354249544E-3</c:v>
                </c:pt>
                <c:pt idx="72">
                  <c:v>6.8870523415976992E-3</c:v>
                </c:pt>
                <c:pt idx="73">
                  <c:v>6.6319763289459654E-3</c:v>
                </c:pt>
                <c:pt idx="74">
                  <c:v>6.3769003162941207E-3</c:v>
                </c:pt>
                <c:pt idx="75">
                  <c:v>6.1218243036423869E-3</c:v>
                </c:pt>
                <c:pt idx="76">
                  <c:v>5.8667482909905422E-3</c:v>
                </c:pt>
                <c:pt idx="77">
                  <c:v>5.6116722783388084E-3</c:v>
                </c:pt>
                <c:pt idx="78">
                  <c:v>5.3565962656870747E-3</c:v>
                </c:pt>
                <c:pt idx="79">
                  <c:v>5.101520253035341E-3</c:v>
                </c:pt>
                <c:pt idx="80">
                  <c:v>4.8464442403834962E-3</c:v>
                </c:pt>
                <c:pt idx="81">
                  <c:v>4.5913682277318735E-3</c:v>
                </c:pt>
                <c:pt idx="82">
                  <c:v>4.3362922150800287E-3</c:v>
                </c:pt>
                <c:pt idx="83">
                  <c:v>4.081216202428295E-3</c:v>
                </c:pt>
                <c:pt idx="84">
                  <c:v>3.8261401897764502E-3</c:v>
                </c:pt>
                <c:pt idx="85">
                  <c:v>3.5710641771247165E-3</c:v>
                </c:pt>
                <c:pt idx="86">
                  <c:v>3.3159881644729827E-3</c:v>
                </c:pt>
                <c:pt idx="87">
                  <c:v>3.060912151821249E-3</c:v>
                </c:pt>
                <c:pt idx="88">
                  <c:v>2.8058361391694042E-3</c:v>
                </c:pt>
                <c:pt idx="89">
                  <c:v>2.5507601265176705E-3</c:v>
                </c:pt>
                <c:pt idx="90">
                  <c:v>2.2956841138659367E-3</c:v>
                </c:pt>
                <c:pt idx="91">
                  <c:v>2.040608101214203E-3</c:v>
                </c:pt>
                <c:pt idx="92">
                  <c:v>1.7855320885623582E-3</c:v>
                </c:pt>
                <c:pt idx="93">
                  <c:v>1.5304560759106245E-3</c:v>
                </c:pt>
                <c:pt idx="94">
                  <c:v>1.2753800632587797E-3</c:v>
                </c:pt>
                <c:pt idx="95">
                  <c:v>1.020304050607046E-3</c:v>
                </c:pt>
                <c:pt idx="96">
                  <c:v>7.6522803795531225E-4</c:v>
                </c:pt>
                <c:pt idx="97">
                  <c:v>5.1015202530346748E-4</c:v>
                </c:pt>
                <c:pt idx="98">
                  <c:v>2.5507601265184476E-4</c:v>
                </c:pt>
                <c:pt idx="99">
                  <c:v>6.3769003162850169E-5</c:v>
                </c:pt>
              </c:numCache>
            </c:numRef>
          </c:val>
        </c:ser>
        <c:axId val="216748416"/>
        <c:axId val="216749952"/>
      </c:areaChart>
      <c:catAx>
        <c:axId val="216748416"/>
        <c:scaling>
          <c:orientation val="minMax"/>
        </c:scaling>
        <c:axPos val="b"/>
        <c:numFmt formatCode="0.00%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16749952"/>
        <c:crossesAt val="0"/>
        <c:lblAlgn val="ctr"/>
        <c:lblOffset val="100"/>
        <c:tickLblSkip val="1"/>
        <c:tickMarkSkip val="33"/>
      </c:catAx>
      <c:valAx>
        <c:axId val="216749952"/>
        <c:scaling>
          <c:orientation val="minMax"/>
          <c:min val="0"/>
        </c:scaling>
        <c:axPos val="l"/>
        <c:title>
          <c:tx>
            <c:rich>
              <a:bodyPr/>
              <a:lstStyle/>
              <a:p>
                <a:pPr>
                  <a:defRPr sz="7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Probability</a:t>
                </a:r>
              </a:p>
            </c:rich>
          </c:tx>
          <c:layout>
            <c:manualLayout>
              <c:xMode val="edge"/>
              <c:yMode val="edge"/>
              <c:x val="2.3443060806826458E-2"/>
              <c:y val="0.2420414114902304"/>
            </c:manualLayout>
          </c:layout>
        </c:title>
        <c:numFmt formatCode="0.00" sourceLinked="1"/>
        <c:maj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1674841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zero"/>
  </c:chart>
  <c:spPr>
    <a:solidFill>
      <a:srgbClr val="E3E3E3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>
      <c:oddHeader>&amp;A</c:oddHeader>
      <c:oddFooter>Page &amp;P</c:oddFooter>
    </c:headerFooter>
    <c:pageMargins b="1" l="0.75000000000000056" r="0.75000000000000056" t="1" header="0.5" footer="0.5"/>
    <c:pageSetup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Ventas</a:t>
            </a:r>
          </a:p>
        </c:rich>
      </c:tx>
      <c:layout>
        <c:manualLayout>
          <c:xMode val="edge"/>
          <c:yMode val="edge"/>
          <c:x val="0.39482789320938405"/>
          <c:y val="3.9360746573344998E-2"/>
        </c:manualLayout>
      </c:layout>
    </c:title>
    <c:plotArea>
      <c:layout>
        <c:manualLayout>
          <c:xMode val="edge"/>
          <c:yMode val="edge"/>
          <c:x val="2.3443228852523187E-2"/>
          <c:y val="0.19680204426186448"/>
          <c:w val="0.96483515672121511"/>
          <c:h val="0.78351775131194856"/>
        </c:manualLayout>
      </c:layout>
      <c:areaChart>
        <c:grouping val="standard"/>
        <c:ser>
          <c:idx val="0"/>
          <c:order val="0"/>
          <c:spPr>
            <a:solidFill>
              <a:srgbClr val="008000"/>
            </a:solidFill>
            <a:ln w="25400">
              <a:noFill/>
            </a:ln>
          </c:spPr>
          <c:cat>
            <c:numRef>
              <c:f>Report!$AL$5:$AL$104</c:f>
              <c:numCache>
                <c:formatCode>General</c:formatCode>
                <c:ptCount val="100"/>
                <c:pt idx="0" formatCode="\ #,##0\ ;\ \-#,##0\ ">
                  <c:v>381953.53876643733</c:v>
                </c:pt>
                <c:pt idx="99" formatCode="\ #,##0\ ;\ \-#,##0\ ">
                  <c:v>1618046.4612335628</c:v>
                </c:pt>
              </c:numCache>
            </c:numRef>
          </c:cat>
          <c:val>
            <c:numRef>
              <c:f>Report!$AM$5:$AM$104</c:f>
              <c:numCache>
                <c:formatCode>0.00</c:formatCode>
                <c:ptCount val="100"/>
                <c:pt idx="0">
                  <c:v>2.2063926859061537E-4</c:v>
                </c:pt>
                <c:pt idx="1">
                  <c:v>2.5477344807415137E-4</c:v>
                </c:pt>
                <c:pt idx="2">
                  <c:v>3.0716585680194805E-4</c:v>
                </c:pt>
                <c:pt idx="3">
                  <c:v>3.6889235620736959E-4</c:v>
                </c:pt>
                <c:pt idx="4">
                  <c:v>4.4130039328376747E-4</c:v>
                </c:pt>
                <c:pt idx="5">
                  <c:v>5.258682061570776E-4</c:v>
                </c:pt>
                <c:pt idx="6">
                  <c:v>6.242053056279926E-4</c:v>
                </c:pt>
                <c:pt idx="7">
                  <c:v>7.3805026238269074E-4</c:v>
                </c:pt>
                <c:pt idx="8">
                  <c:v>8.6926534093554123E-4</c:v>
                </c:pt>
                <c:pt idx="9">
                  <c:v>1.0198275281274984E-3</c:v>
                </c:pt>
                <c:pt idx="10">
                  <c:v>1.191815527311792E-3</c:v>
                </c:pt>
                <c:pt idx="11">
                  <c:v>1.3873923313734828E-3</c:v>
                </c:pt>
                <c:pt idx="12">
                  <c:v>1.6087830502197614E-3</c:v>
                </c:pt>
                <c:pt idx="13">
                  <c:v>1.8582477525605906E-3</c:v>
                </c:pt>
                <c:pt idx="14">
                  <c:v>2.1380491881937656E-3</c:v>
                </c:pt>
                <c:pt idx="15">
                  <c:v>2.4504153852924482E-3</c:v>
                </c:pt>
                <c:pt idx="16">
                  <c:v>2.7974972660732809E-3</c:v>
                </c:pt>
                <c:pt idx="17">
                  <c:v>3.1813215913456296E-3</c:v>
                </c:pt>
                <c:pt idx="18">
                  <c:v>3.6037397263289361E-3</c:v>
                </c:pt>
                <c:pt idx="19">
                  <c:v>4.0663729121612723E-3</c:v>
                </c:pt>
                <c:pt idx="20">
                  <c:v>4.5705549240027191E-3</c:v>
                </c:pt>
                <c:pt idx="21">
                  <c:v>5.1172731908669042E-3</c:v>
                </c:pt>
                <c:pt idx="22">
                  <c:v>5.7071096328006055E-3</c:v>
                </c:pt>
                <c:pt idx="23">
                  <c:v>6.3401826694123101E-3</c:v>
                </c:pt>
                <c:pt idx="24">
                  <c:v>7.0160918827496324E-3</c:v>
                </c:pt>
                <c:pt idx="25">
                  <c:v>7.7338671457388292E-3</c:v>
                </c:pt>
                <c:pt idx="26">
                  <c:v>8.491923812192978E-3</c:v>
                </c:pt>
                <c:pt idx="27">
                  <c:v>9.2880258002360078E-3</c:v>
                </c:pt>
                <c:pt idx="28">
                  <c:v>1.0119258247393986E-2</c:v>
                </c:pt>
                <c:pt idx="29">
                  <c:v>1.0982011345170878E-2</c:v>
                </c:pt>
                <c:pt idx="30">
                  <c:v>1.1871976792692529E-2</c:v>
                </c:pt>
                <c:pt idx="31">
                  <c:v>1.2784158082643701E-2</c:v>
                </c:pt>
                <c:pt idx="32">
                  <c:v>1.3712895546951681E-2</c:v>
                </c:pt>
                <c:pt idx="33">
                  <c:v>1.465190674960512E-2</c:v>
                </c:pt>
                <c:pt idx="34">
                  <c:v>1.5594342427545621E-2</c:v>
                </c:pt>
                <c:pt idx="35">
                  <c:v>1.6532857758017272E-2</c:v>
                </c:pt>
                <c:pt idx="36">
                  <c:v>1.7459698284720993E-2</c:v>
                </c:pt>
                <c:pt idx="37">
                  <c:v>1.8366799380016147E-2</c:v>
                </c:pt>
                <c:pt idx="38">
                  <c:v>1.924589767200624E-2</c:v>
                </c:pt>
                <c:pt idx="39">
                  <c:v>2.008865244019567E-2</c:v>
                </c:pt>
                <c:pt idx="40">
                  <c:v>2.0886774598059987E-2</c:v>
                </c:pt>
                <c:pt idx="41">
                  <c:v>2.163216055129713E-2</c:v>
                </c:pt>
                <c:pt idx="42">
                  <c:v>2.2317027961239466E-2</c:v>
                </c:pt>
                <c:pt idx="43">
                  <c:v>2.2934050266382788E-2</c:v>
                </c:pt>
                <c:pt idx="44">
                  <c:v>2.3476486730927115E-2</c:v>
                </c:pt>
                <c:pt idx="45">
                  <c:v>2.3938304804112409E-2</c:v>
                </c:pt>
                <c:pt idx="46">
                  <c:v>2.4314291690740009E-2</c:v>
                </c:pt>
                <c:pt idx="47">
                  <c:v>2.460015225050155E-2</c:v>
                </c:pt>
                <c:pt idx="48">
                  <c:v>2.4792590656483926E-2</c:v>
                </c:pt>
                <c:pt idx="49">
                  <c:v>2.488937364253313E-2</c:v>
                </c:pt>
                <c:pt idx="50">
                  <c:v>2.4889373642533186E-2</c:v>
                </c:pt>
                <c:pt idx="51">
                  <c:v>2.4792590656483871E-2</c:v>
                </c:pt>
                <c:pt idx="52">
                  <c:v>2.4600152250501495E-2</c:v>
                </c:pt>
                <c:pt idx="53">
                  <c:v>2.4314291690740286E-2</c:v>
                </c:pt>
                <c:pt idx="54">
                  <c:v>2.3938304804112853E-2</c:v>
                </c:pt>
                <c:pt idx="55">
                  <c:v>2.3476486730927615E-2</c:v>
                </c:pt>
                <c:pt idx="56">
                  <c:v>2.2934050266383288E-2</c:v>
                </c:pt>
                <c:pt idx="57">
                  <c:v>2.231702796123991E-2</c:v>
                </c:pt>
                <c:pt idx="58">
                  <c:v>2.1632160551297464E-2</c:v>
                </c:pt>
                <c:pt idx="59">
                  <c:v>2.0886774598060431E-2</c:v>
                </c:pt>
                <c:pt idx="60">
                  <c:v>2.0088652440195975E-2</c:v>
                </c:pt>
                <c:pt idx="61">
                  <c:v>1.9245897672006573E-2</c:v>
                </c:pt>
                <c:pt idx="62">
                  <c:v>1.8366799380016507E-2</c:v>
                </c:pt>
                <c:pt idx="63">
                  <c:v>1.7459698284721381E-2</c:v>
                </c:pt>
                <c:pt idx="64">
                  <c:v>1.6532857758017494E-2</c:v>
                </c:pt>
                <c:pt idx="65">
                  <c:v>1.5594342427545871E-2</c:v>
                </c:pt>
                <c:pt idx="66">
                  <c:v>1.4651906749605481E-2</c:v>
                </c:pt>
                <c:pt idx="67">
                  <c:v>1.3712895546951986E-2</c:v>
                </c:pt>
                <c:pt idx="68">
                  <c:v>1.2784158082643882E-2</c:v>
                </c:pt>
                <c:pt idx="69">
                  <c:v>1.1871976792692696E-2</c:v>
                </c:pt>
                <c:pt idx="70">
                  <c:v>1.0982011345171072E-2</c:v>
                </c:pt>
                <c:pt idx="71">
                  <c:v>1.0119258247394014E-2</c:v>
                </c:pt>
                <c:pt idx="72">
                  <c:v>9.2880258002362437E-3</c:v>
                </c:pt>
                <c:pt idx="73">
                  <c:v>8.4919238121931029E-3</c:v>
                </c:pt>
                <c:pt idx="74">
                  <c:v>7.7338671457390928E-3</c:v>
                </c:pt>
                <c:pt idx="75">
                  <c:v>7.0160918827496532E-3</c:v>
                </c:pt>
                <c:pt idx="76">
                  <c:v>6.3401826694126084E-3</c:v>
                </c:pt>
                <c:pt idx="77">
                  <c:v>5.7071096328005222E-3</c:v>
                </c:pt>
                <c:pt idx="78">
                  <c:v>5.1172731908670777E-3</c:v>
                </c:pt>
                <c:pt idx="79">
                  <c:v>4.5705549240027121E-3</c:v>
                </c:pt>
                <c:pt idx="80">
                  <c:v>4.0663729121613867E-3</c:v>
                </c:pt>
                <c:pt idx="81">
                  <c:v>3.6037397263289916E-3</c:v>
                </c:pt>
                <c:pt idx="82">
                  <c:v>3.1813215913456538E-3</c:v>
                </c:pt>
                <c:pt idx="83">
                  <c:v>2.7974972660732567E-3</c:v>
                </c:pt>
                <c:pt idx="84">
                  <c:v>2.4504153852924482E-3</c:v>
                </c:pt>
                <c:pt idx="85">
                  <c:v>2.1380491881938246E-3</c:v>
                </c:pt>
                <c:pt idx="86">
                  <c:v>1.8582477525607155E-3</c:v>
                </c:pt>
                <c:pt idx="87">
                  <c:v>1.6087830502198308E-3</c:v>
                </c:pt>
                <c:pt idx="88">
                  <c:v>1.387392331373416E-3</c:v>
                </c:pt>
                <c:pt idx="89">
                  <c:v>1.1918155273118458E-3</c:v>
                </c:pt>
                <c:pt idx="90">
                  <c:v>1.0198275281274594E-3</c:v>
                </c:pt>
                <c:pt idx="91">
                  <c:v>8.6926534093556551E-4</c:v>
                </c:pt>
                <c:pt idx="92">
                  <c:v>7.3805026238271676E-4</c:v>
                </c:pt>
                <c:pt idx="93">
                  <c:v>6.2420530562801169E-4</c:v>
                </c:pt>
                <c:pt idx="94">
                  <c:v>5.2586820615718732E-4</c:v>
                </c:pt>
                <c:pt idx="95">
                  <c:v>4.4130039328371673E-4</c:v>
                </c:pt>
                <c:pt idx="96">
                  <c:v>3.6889235620740646E-4</c:v>
                </c:pt>
                <c:pt idx="97">
                  <c:v>3.0716585680190533E-4</c:v>
                </c:pt>
                <c:pt idx="98">
                  <c:v>2.5477344807411928E-4</c:v>
                </c:pt>
                <c:pt idx="99">
                  <c:v>2.2063926859061667E-4</c:v>
                </c:pt>
              </c:numCache>
            </c:numRef>
          </c:val>
        </c:ser>
        <c:axId val="216786432"/>
        <c:axId val="216787968"/>
      </c:areaChart>
      <c:catAx>
        <c:axId val="216786432"/>
        <c:scaling>
          <c:orientation val="minMax"/>
        </c:scaling>
        <c:axPos val="b"/>
        <c:numFmt formatCode="\ #,##0\ ;\ \-#,##0\ 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16787968"/>
        <c:crossesAt val="0"/>
        <c:lblAlgn val="ctr"/>
        <c:lblOffset val="100"/>
        <c:tickLblSkip val="1"/>
        <c:tickMarkSkip val="100"/>
      </c:catAx>
      <c:valAx>
        <c:axId val="216787968"/>
        <c:scaling>
          <c:orientation val="minMax"/>
          <c:min val="0"/>
        </c:scaling>
        <c:axPos val="l"/>
        <c:title>
          <c:tx>
            <c:rich>
              <a:bodyPr/>
              <a:lstStyle/>
              <a:p>
                <a:pPr>
                  <a:defRPr sz="7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Probability</a:t>
                </a:r>
              </a:p>
            </c:rich>
          </c:tx>
          <c:layout>
            <c:manualLayout>
              <c:xMode val="edge"/>
              <c:yMode val="edge"/>
              <c:x val="2.3443060806826458E-2"/>
              <c:y val="0.30466958296879559"/>
            </c:manualLayout>
          </c:layout>
        </c:title>
        <c:numFmt formatCode="0.00" sourceLinked="1"/>
        <c:maj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1678643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plotVisOnly val="1"/>
    <c:dispBlanksAs val="zero"/>
  </c:chart>
  <c:spPr>
    <a:solidFill>
      <a:srgbClr val="E3E3E3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>
      <c:oddHeader>&amp;A</c:oddHeader>
      <c:oddFooter>Page &amp;P</c:oddFooter>
    </c:headerFooter>
    <c:pageMargins b="1" l="0.75000000000000056" r="0.75000000000000056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Modelo!A122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Sheet Index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128</xdr:row>
      <xdr:rowOff>0</xdr:rowOff>
    </xdr:from>
    <xdr:to>
      <xdr:col>0</xdr:col>
      <xdr:colOff>962025</xdr:colOff>
      <xdr:row>132</xdr:row>
      <xdr:rowOff>123825</xdr:rowOff>
    </xdr:to>
    <xdr:pic>
      <xdr:nvPicPr>
        <xdr:cNvPr id="1101" name="Picture 3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 l="3125" t="23416" r="83968" b="58853"/>
        <a:stretch>
          <a:fillRect/>
        </a:stretch>
      </xdr:blipFill>
      <xdr:spPr bwMode="auto">
        <a:xfrm>
          <a:off x="28575" y="3771900"/>
          <a:ext cx="933450" cy="962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6000750</xdr:colOff>
      <xdr:row>30</xdr:row>
      <xdr:rowOff>0</xdr:rowOff>
    </xdr:from>
    <xdr:to>
      <xdr:col>0</xdr:col>
      <xdr:colOff>6581775</xdr:colOff>
      <xdr:row>36</xdr:row>
      <xdr:rowOff>133350</xdr:rowOff>
    </xdr:to>
    <xdr:sp macro="" textlink="">
      <xdr:nvSpPr>
        <xdr:cNvPr id="2050" name="Text Box 2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6000750" y="1943100"/>
          <a:ext cx="5810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s-CO" sz="1100" b="1" i="0" strike="noStrike">
              <a:solidFill>
                <a:srgbClr val="FF0000"/>
              </a:solidFill>
              <a:latin typeface="Arial"/>
              <a:cs typeface="Arial"/>
            </a:rPr>
            <a:t>Volver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4</xdr:row>
      <xdr:rowOff>0</xdr:rowOff>
    </xdr:from>
    <xdr:to>
      <xdr:col>6</xdr:col>
      <xdr:colOff>200025</xdr:colOff>
      <xdr:row>4</xdr:row>
      <xdr:rowOff>0</xdr:rowOff>
    </xdr:to>
    <xdr:sp macro="" textlink="">
      <xdr:nvSpPr>
        <xdr:cNvPr id="5487" name="Line 1"/>
        <xdr:cNvSpPr>
          <a:spLocks noChangeShapeType="1"/>
        </xdr:cNvSpPr>
      </xdr:nvSpPr>
      <xdr:spPr bwMode="auto">
        <a:xfrm>
          <a:off x="3543300" y="647700"/>
          <a:ext cx="1885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190500</xdr:colOff>
      <xdr:row>4</xdr:row>
      <xdr:rowOff>0</xdr:rowOff>
    </xdr:from>
    <xdr:to>
      <xdr:col>6</xdr:col>
      <xdr:colOff>190500</xdr:colOff>
      <xdr:row>6</xdr:row>
      <xdr:rowOff>76200</xdr:rowOff>
    </xdr:to>
    <xdr:sp macro="" textlink="">
      <xdr:nvSpPr>
        <xdr:cNvPr id="5488" name="Line 2"/>
        <xdr:cNvSpPr>
          <a:spLocks noChangeShapeType="1"/>
        </xdr:cNvSpPr>
      </xdr:nvSpPr>
      <xdr:spPr bwMode="auto">
        <a:xfrm>
          <a:off x="5419725" y="647700"/>
          <a:ext cx="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447675</xdr:colOff>
      <xdr:row>4</xdr:row>
      <xdr:rowOff>0</xdr:rowOff>
    </xdr:from>
    <xdr:to>
      <xdr:col>4</xdr:col>
      <xdr:colOff>447675</xdr:colOff>
      <xdr:row>5</xdr:row>
      <xdr:rowOff>123825</xdr:rowOff>
    </xdr:to>
    <xdr:sp macro="" textlink="">
      <xdr:nvSpPr>
        <xdr:cNvPr id="5489" name="Line 3"/>
        <xdr:cNvSpPr>
          <a:spLocks noChangeShapeType="1"/>
        </xdr:cNvSpPr>
      </xdr:nvSpPr>
      <xdr:spPr bwMode="auto">
        <a:xfrm>
          <a:off x="4152900" y="647700"/>
          <a:ext cx="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447675</xdr:colOff>
      <xdr:row>5</xdr:row>
      <xdr:rowOff>0</xdr:rowOff>
    </xdr:from>
    <xdr:to>
      <xdr:col>5</xdr:col>
      <xdr:colOff>123825</xdr:colOff>
      <xdr:row>5</xdr:row>
      <xdr:rowOff>0</xdr:rowOff>
    </xdr:to>
    <xdr:sp macro="" textlink="">
      <xdr:nvSpPr>
        <xdr:cNvPr id="5490" name="Line 4"/>
        <xdr:cNvSpPr>
          <a:spLocks noChangeShapeType="1"/>
        </xdr:cNvSpPr>
      </xdr:nvSpPr>
      <xdr:spPr bwMode="auto">
        <a:xfrm flipH="1">
          <a:off x="4152900" y="809625"/>
          <a:ext cx="438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457200</xdr:colOff>
      <xdr:row>5</xdr:row>
      <xdr:rowOff>0</xdr:rowOff>
    </xdr:from>
    <xdr:to>
      <xdr:col>6</xdr:col>
      <xdr:colOff>190500</xdr:colOff>
      <xdr:row>5</xdr:row>
      <xdr:rowOff>0</xdr:rowOff>
    </xdr:to>
    <xdr:sp macro="" textlink="">
      <xdr:nvSpPr>
        <xdr:cNvPr id="5491" name="Line 5"/>
        <xdr:cNvSpPr>
          <a:spLocks noChangeShapeType="1"/>
        </xdr:cNvSpPr>
      </xdr:nvSpPr>
      <xdr:spPr bwMode="auto">
        <a:xfrm>
          <a:off x="4924425" y="809625"/>
          <a:ext cx="495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47625</xdr:rowOff>
    </xdr:from>
    <xdr:to>
      <xdr:col>5</xdr:col>
      <xdr:colOff>523875</xdr:colOff>
      <xdr:row>39</xdr:row>
      <xdr:rowOff>47625</xdr:rowOff>
    </xdr:to>
    <xdr:graphicFrame macro="">
      <xdr:nvGraphicFramePr>
        <xdr:cNvPr id="13323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47625</xdr:rowOff>
    </xdr:from>
    <xdr:to>
      <xdr:col>6</xdr:col>
      <xdr:colOff>209550</xdr:colOff>
      <xdr:row>20</xdr:row>
      <xdr:rowOff>47625</xdr:rowOff>
    </xdr:to>
    <xdr:graphicFrame macro="">
      <xdr:nvGraphicFramePr>
        <xdr:cNvPr id="12299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10</xdr:row>
      <xdr:rowOff>0</xdr:rowOff>
    </xdr:from>
    <xdr:to>
      <xdr:col>10</xdr:col>
      <xdr:colOff>0</xdr:colOff>
      <xdr:row>17</xdr:row>
      <xdr:rowOff>152400</xdr:rowOff>
    </xdr:to>
    <xdr:graphicFrame macro="">
      <xdr:nvGraphicFramePr>
        <xdr:cNvPr id="18489" name="Templat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161925</xdr:colOff>
      <xdr:row>22</xdr:row>
      <xdr:rowOff>0</xdr:rowOff>
    </xdr:from>
    <xdr:to>
      <xdr:col>10</xdr:col>
      <xdr:colOff>0</xdr:colOff>
      <xdr:row>29</xdr:row>
      <xdr:rowOff>152400</xdr:rowOff>
    </xdr:to>
    <xdr:graphicFrame macro="">
      <xdr:nvGraphicFramePr>
        <xdr:cNvPr id="18490" name="Templat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161925</xdr:colOff>
      <xdr:row>34</xdr:row>
      <xdr:rowOff>0</xdr:rowOff>
    </xdr:from>
    <xdr:to>
      <xdr:col>10</xdr:col>
      <xdr:colOff>0</xdr:colOff>
      <xdr:row>41</xdr:row>
      <xdr:rowOff>152400</xdr:rowOff>
    </xdr:to>
    <xdr:graphicFrame macro="">
      <xdr:nvGraphicFramePr>
        <xdr:cNvPr id="18491" name="Templat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161925</xdr:colOff>
      <xdr:row>46</xdr:row>
      <xdr:rowOff>0</xdr:rowOff>
    </xdr:from>
    <xdr:to>
      <xdr:col>10</xdr:col>
      <xdr:colOff>0</xdr:colOff>
      <xdr:row>53</xdr:row>
      <xdr:rowOff>152400</xdr:rowOff>
    </xdr:to>
    <xdr:graphicFrame macro="">
      <xdr:nvGraphicFramePr>
        <xdr:cNvPr id="18492" name="Templat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161925</xdr:colOff>
      <xdr:row>58</xdr:row>
      <xdr:rowOff>0</xdr:rowOff>
    </xdr:from>
    <xdr:to>
      <xdr:col>10</xdr:col>
      <xdr:colOff>0</xdr:colOff>
      <xdr:row>65</xdr:row>
      <xdr:rowOff>152400</xdr:rowOff>
    </xdr:to>
    <xdr:graphicFrame macro="">
      <xdr:nvGraphicFramePr>
        <xdr:cNvPr id="18493" name="Templat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161925</xdr:colOff>
      <xdr:row>70</xdr:row>
      <xdr:rowOff>0</xdr:rowOff>
    </xdr:from>
    <xdr:to>
      <xdr:col>10</xdr:col>
      <xdr:colOff>0</xdr:colOff>
      <xdr:row>77</xdr:row>
      <xdr:rowOff>152400</xdr:rowOff>
    </xdr:to>
    <xdr:graphicFrame macro="">
      <xdr:nvGraphicFramePr>
        <xdr:cNvPr id="18494" name="Templat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161925</xdr:colOff>
      <xdr:row>82</xdr:row>
      <xdr:rowOff>0</xdr:rowOff>
    </xdr:from>
    <xdr:to>
      <xdr:col>10</xdr:col>
      <xdr:colOff>0</xdr:colOff>
      <xdr:row>89</xdr:row>
      <xdr:rowOff>152400</xdr:rowOff>
    </xdr:to>
    <xdr:graphicFrame macro="">
      <xdr:nvGraphicFramePr>
        <xdr:cNvPr id="18495" name="Template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WZR/Incolda/Diplomado%20Tesorer&#237;a%202005/Diplomado%20Tesorer&#237;a%20Oct%202006/Prospectaci&#243;n%20y%20Valoraci&#243;n/Modelaci&#243;n1.4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wzitzman/CONFIG~1/Temp/Rar$DI00.329/windows/TEMP/PROYECTO%20+%20EMPRESA%20MO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wzitzman/CONFIG~1/Temp/Rar$DI00.329/Clientes/Incolda/Diplomado%20Finanzas/Plan%20Fin%20I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Incolda/Diplomado%20Tesorer&#237;a%202005/Modelos/windows/TEMP/PROYECTO%20+%20EMPRESA%20MO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Incolda/Diplomado%20Tesorer&#237;a%202005/Modelos/Clientes/Incolda/Diplomado%20Finanzas/Plan%20Fin%20I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WZR/Modelos/Costo%20Capital/Gordon%20con%202%20etapa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Startup" Target="INCOLDA/Curso%20de%20Excel/Oct%2002/PROYECCIONES14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Startup" Target="INCOLDA/Curso%20de%20Excel/Oct%2002/Modelo%20Sensibilida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WZR/Incolda/Curso%20de%20Excel/2005_1/Excel%20Incolda/Modelo3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%20WZR/Incolda/Curso%20de%20Excel/2004_3/Modelo3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WZR/Incolda/Banco%20Superior/Modelaci&#243;n/Septbre05/Modelo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WZR/Incolda/Curso%20de%20Excel/2005_1/Excel%20Incolda/Modelaci&#243;n2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WZR/Incolda/Diplomado%20Riesgo/2&#176;%20Semestre/EJERCICIO6b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WZR/CESA/Grupo%2017a/Inductores%20EVA/Planeaci&#243;n%20Abr%202005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Files1/Dromayor/Informes/2005/Febrero/Dromayor%20Bt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WZR/Incolda/Diplomado%20Alta%20Ger%20Financiera/Oct%2005/Cap%20Trabajo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%20WZR/Modelos/Costo%20Capital/COSTO%20DE%20CAPIT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ROYECTO%20+%20EMPRESA%20MO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rch%20WZR\Incolda\Curso%20de%20Excel\2004_3\Modelo3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rch%20WZR\Modelos\Costo%20Capital\COSTO%20DE%20CAPIT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TEMP\PROYECTO%20+%20EMPRESA%20MOD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o%209.xlsm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o%20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 Index"/>
      <sheetName val="Conceptos"/>
      <sheetName val="Pasos"/>
      <sheetName val="Resumen de escenario"/>
      <sheetName val="Resumen de escenario 2"/>
      <sheetName val="CB_DATA_"/>
      <sheetName val="Modelo"/>
      <sheetName val="Tornado"/>
      <sheetName val="Spider"/>
      <sheetName val="Report"/>
      <sheetName val="FdeC Año 1"/>
      <sheetName val="Costo Crédito Bancario"/>
      <sheetName val="Cto Proveedores"/>
      <sheetName val="Cto Patrimonio"/>
      <sheetName val="Emergen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49">
          <cell r="O249" t="str">
            <v>Utilidad Bruta</v>
          </cell>
        </row>
        <row r="250">
          <cell r="O250" t="str">
            <v>Utilidad Operacional</v>
          </cell>
        </row>
        <row r="251">
          <cell r="O251" t="str">
            <v>Utilidad Neta</v>
          </cell>
        </row>
        <row r="252">
          <cell r="O252" t="str">
            <v>Caja</v>
          </cell>
        </row>
        <row r="253">
          <cell r="O253" t="str">
            <v>EVA</v>
          </cell>
        </row>
        <row r="254">
          <cell r="O254" t="str">
            <v>z-score</v>
          </cell>
        </row>
        <row r="255">
          <cell r="O255" t="str">
            <v>Valoración MVA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>
        <row r="3">
          <cell r="B3" t="str">
            <v>Subjetiva</v>
          </cell>
        </row>
        <row r="4">
          <cell r="B4" t="str">
            <v>Gordon</v>
          </cell>
        </row>
        <row r="5">
          <cell r="B5" t="str">
            <v>CAPM</v>
          </cell>
        </row>
        <row r="6">
          <cell r="B6" t="str">
            <v>CAPM L</v>
          </cell>
        </row>
        <row r="7">
          <cell r="B7" t="str">
            <v>CAPM B&amp;S</v>
          </cell>
        </row>
        <row r="8">
          <cell r="B8" t="str">
            <v>CAPM L B&amp;S</v>
          </cell>
        </row>
      </sheetData>
      <sheetData sheetId="1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enú"/>
      <sheetName val="PROYECTO"/>
      <sheetName val="ACTIVOS FIJOS"/>
      <sheetName val="F de C Proyecto"/>
      <sheetName val="EMPRESA"/>
      <sheetName val="CONSOLIDADO"/>
      <sheetName val="F de C Consolidado"/>
      <sheetName val="Módulo1"/>
      <sheetName val="Módulo2"/>
      <sheetName val="Módulo3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onceptos"/>
      <sheetName val="Proyeccion"/>
      <sheetName val="REPORT"/>
      <sheetName val="Gráfico1"/>
      <sheetName val="Activos fijos"/>
      <sheetName val="Flujo Caja LP"/>
      <sheetName val="Costo Cap y EVA"/>
      <sheetName val="Bancos"/>
      <sheetName val="Proveedores"/>
    </sheetNames>
    <sheetDataSet>
      <sheetData sheetId="0"/>
      <sheetData sheetId="1"/>
      <sheetData sheetId="2"/>
      <sheetData sheetId="3" refreshError="1"/>
      <sheetData sheetId="4"/>
      <sheetData sheetId="5" refreshError="1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enú"/>
      <sheetName val="PROYECTO"/>
      <sheetName val="ACTIVOS FIJOS"/>
      <sheetName val="F de C Proyecto"/>
      <sheetName val="EMPRESA"/>
      <sheetName val="CONSOLIDADO"/>
      <sheetName val="F de C Consolidado"/>
      <sheetName val="Módulo1"/>
      <sheetName val="Módulo2"/>
      <sheetName val="Módulo3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onceptos"/>
      <sheetName val="Proyeccion"/>
      <sheetName val="REPORT"/>
      <sheetName val="Gráfico1"/>
      <sheetName val="Activos fijos"/>
      <sheetName val="Flujo Caja LP"/>
      <sheetName val="Costo Cap y EVA"/>
      <sheetName val="Bancos"/>
      <sheetName val="Proveedores"/>
    </sheetNames>
    <sheetDataSet>
      <sheetData sheetId="0"/>
      <sheetData sheetId="1"/>
      <sheetData sheetId="2"/>
      <sheetData sheetId="3" refreshError="1"/>
      <sheetData sheetId="4"/>
      <sheetData sheetId="5" refreshError="1"/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Costo de Capital"/>
      <sheetName val="Gordon 2 etapas"/>
      <sheetName val="Benninga Sarig"/>
      <sheetName val="Emergentes"/>
      <sheetName val="Gordon con 2 etapas"/>
      <sheetName val="Gordon Fijo"/>
    </sheetNames>
    <sheetDataSet>
      <sheetData sheetId="0">
        <row r="37">
          <cell r="C37">
            <v>0</v>
          </cell>
        </row>
      </sheetData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Conceptos"/>
      <sheetName val="Modelo"/>
      <sheetName val="Proveedores"/>
      <sheetName val="Crédito Bancos"/>
      <sheetName val="Inversionistas"/>
      <sheetName val="Resumen de escenario"/>
      <sheetName val="Hoja3"/>
      <sheetName val="Hoja4"/>
      <sheetName val="Apuntes"/>
    </sheetNames>
    <sheetDataSet>
      <sheetData sheetId="0"/>
      <sheetData sheetId="1" refreshError="1">
        <row r="3">
          <cell r="B3">
            <v>1000000</v>
          </cell>
        </row>
        <row r="12">
          <cell r="B12">
            <v>0.04</v>
          </cell>
        </row>
        <row r="139">
          <cell r="N139">
            <v>1</v>
          </cell>
          <cell r="O139" t="str">
            <v>Utilidad Neta</v>
          </cell>
          <cell r="P139">
            <v>203528</v>
          </cell>
        </row>
        <row r="140">
          <cell r="N140">
            <v>2</v>
          </cell>
          <cell r="O140" t="str">
            <v>Utilidad Operacional</v>
          </cell>
          <cell r="P140">
            <v>340000</v>
          </cell>
        </row>
        <row r="141">
          <cell r="N141">
            <v>3</v>
          </cell>
          <cell r="O141" t="str">
            <v>Utilidad Bruta</v>
          </cell>
          <cell r="P141">
            <v>500000</v>
          </cell>
        </row>
        <row r="142">
          <cell r="N142">
            <v>4</v>
          </cell>
          <cell r="O142" t="str">
            <v>Costo Ventas</v>
          </cell>
          <cell r="P142">
            <v>500000</v>
          </cell>
        </row>
        <row r="143">
          <cell r="N143">
            <v>5</v>
          </cell>
          <cell r="O143" t="str">
            <v>Gastos Ventas</v>
          </cell>
          <cell r="P143">
            <v>40000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heet Index"/>
      <sheetName val="Documentación"/>
      <sheetName val="Resumen de escenario"/>
      <sheetName val="Resumen de escenario 2"/>
      <sheetName val="Modelo"/>
      <sheetName val="Tir Múltiples"/>
      <sheetName val="Matemáticas Financieras"/>
      <sheetName val="Beta Supervalores"/>
      <sheetName val="WACC"/>
      <sheetName val="BANCOS"/>
      <sheetName val="Proveedores"/>
      <sheetName val="Hoja7"/>
      <sheetName val="Hoja8"/>
      <sheetName val="Hoja9"/>
      <sheetName val="Hoja10"/>
      <sheetName val="ke"/>
      <sheetName val="Conceptos"/>
      <sheetName val="Crédito Bancos"/>
      <sheetName val="Préstamo Cuota Fija"/>
      <sheetName val="z-Score"/>
      <sheetName val="Costo Patrimonio"/>
      <sheetName val="Emergentes"/>
    </sheetNames>
    <sheetDataSet>
      <sheetData sheetId="0"/>
      <sheetData sheetId="1" refreshError="1"/>
      <sheetData sheetId="2" refreshError="1"/>
      <sheetData sheetId="3" refreshError="1"/>
      <sheetData sheetId="4" refreshError="1">
        <row r="4">
          <cell r="B4">
            <v>0.6</v>
          </cell>
        </row>
        <row r="5">
          <cell r="B5">
            <v>4</v>
          </cell>
        </row>
        <row r="6">
          <cell r="B6">
            <v>70000</v>
          </cell>
        </row>
        <row r="10">
          <cell r="B10">
            <v>75</v>
          </cell>
        </row>
        <row r="11">
          <cell r="B11">
            <v>90</v>
          </cell>
        </row>
        <row r="13">
          <cell r="B13">
            <v>0.18</v>
          </cell>
        </row>
        <row r="15">
          <cell r="B15">
            <v>0.21160390763221243</v>
          </cell>
        </row>
        <row r="19">
          <cell r="B19">
            <v>0.3</v>
          </cell>
        </row>
        <row r="32">
          <cell r="B32">
            <v>473780.45601089834</v>
          </cell>
        </row>
        <row r="36">
          <cell r="B36">
            <v>279024.36480871867</v>
          </cell>
        </row>
        <row r="40">
          <cell r="B40">
            <v>144913.64803367562</v>
          </cell>
        </row>
        <row r="65">
          <cell r="B65">
            <v>206675.12980672534</v>
          </cell>
        </row>
        <row r="92">
          <cell r="B92">
            <v>364301.5967266318</v>
          </cell>
        </row>
        <row r="105">
          <cell r="B105">
            <v>0.39471829301951616</v>
          </cell>
        </row>
        <row r="107">
          <cell r="B107">
            <v>93243.414980422836</v>
          </cell>
        </row>
        <row r="110">
          <cell r="B110">
            <v>0.3977848281088302</v>
          </cell>
        </row>
        <row r="116">
          <cell r="B116">
            <v>3.3322047005444855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Sheet Index"/>
      <sheetName val="Documentación"/>
      <sheetName val="Resumen de escenario"/>
      <sheetName val="Resumen de escenario 2"/>
      <sheetName val="Modelo"/>
      <sheetName val="Tir Múltiples"/>
      <sheetName val="Matemáticas Financieras"/>
      <sheetName val="Beta Supervalores"/>
      <sheetName val="ke"/>
      <sheetName val="BANCOS"/>
      <sheetName val="Proveedores"/>
      <sheetName val="Hoja7"/>
      <sheetName val="Hoja8"/>
      <sheetName val="Hoja9"/>
      <sheetName val="Hoja10"/>
    </sheetNames>
    <sheetDataSet>
      <sheetData sheetId="0"/>
      <sheetData sheetId="1"/>
      <sheetData sheetId="2"/>
      <sheetData sheetId="3"/>
      <sheetData sheetId="4">
        <row r="43">
          <cell r="T43" t="str">
            <v>Utilidad Bruta</v>
          </cell>
        </row>
        <row r="44">
          <cell r="T44" t="str">
            <v>Utilidad Operacional</v>
          </cell>
        </row>
        <row r="45">
          <cell r="T45" t="str">
            <v>Utilidad Neta</v>
          </cell>
        </row>
        <row r="46">
          <cell r="T46" t="str">
            <v>Saldo de Caja</v>
          </cell>
        </row>
        <row r="47">
          <cell r="T47" t="str">
            <v>EVA</v>
          </cell>
        </row>
        <row r="48">
          <cell r="T48" t="str">
            <v>Patrimonio</v>
          </cell>
        </row>
      </sheetData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heet Index"/>
      <sheetName val="Documentación"/>
      <sheetName val="Resumen de escenario"/>
      <sheetName val="Resumen de escenario 2"/>
      <sheetName val="Modelo"/>
      <sheetName val="Tir Múltiples"/>
      <sheetName val="Matemáticas Financieras"/>
      <sheetName val="Beta Supervalores"/>
      <sheetName val="ke"/>
      <sheetName val="BANCOS"/>
      <sheetName val="Proveedores"/>
      <sheetName val="Hoja7"/>
      <sheetName val="Hoja8"/>
      <sheetName val="Hoja9"/>
      <sheetName val="Hoja10"/>
    </sheetNames>
    <sheetDataSet>
      <sheetData sheetId="0"/>
      <sheetData sheetId="1"/>
      <sheetData sheetId="2"/>
      <sheetData sheetId="3"/>
      <sheetData sheetId="4">
        <row r="3">
          <cell r="C3">
            <v>1000000</v>
          </cell>
        </row>
        <row r="7">
          <cell r="C7">
            <v>100000</v>
          </cell>
        </row>
        <row r="15">
          <cell r="C15">
            <v>0.12</v>
          </cell>
        </row>
        <row r="43">
          <cell r="T43" t="str">
            <v>Utilidad Bruta</v>
          </cell>
        </row>
        <row r="44">
          <cell r="T44" t="str">
            <v>Utilidad Operacional</v>
          </cell>
        </row>
        <row r="45">
          <cell r="T45" t="str">
            <v>Utilidad Neta</v>
          </cell>
        </row>
        <row r="46">
          <cell r="T46" t="str">
            <v>Saldo de Caja</v>
          </cell>
        </row>
        <row r="47">
          <cell r="T47" t="str">
            <v>EVA</v>
          </cell>
        </row>
        <row r="48">
          <cell r="T48" t="str">
            <v>Patrimonio</v>
          </cell>
        </row>
      </sheetData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iNDICE"/>
      <sheetName val="Conceptos"/>
      <sheetName val="Efectiva"/>
      <sheetName val="Resumen de escenariox"/>
      <sheetName val="Resumen de escenario 2"/>
      <sheetName val="Resumen de escenario"/>
      <sheetName val="CB_DATA_"/>
      <sheetName val="Modelo"/>
      <sheetName val="Report"/>
      <sheetName val="Tornado"/>
      <sheetName val="Tornado $"/>
      <sheetName val="Spider"/>
      <sheetName val="Spider$"/>
      <sheetName val="Costo de Pasivos"/>
      <sheetName val="Costo Patrimonio"/>
      <sheetName val="Emerge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B4" t="str">
            <v>Advanced Materials/Prd</v>
          </cell>
        </row>
        <row r="5">
          <cell r="B5" t="str">
            <v>Advertising Agencies</v>
          </cell>
        </row>
        <row r="6">
          <cell r="B6" t="str">
            <v>Advertising Sales</v>
          </cell>
        </row>
        <row r="7">
          <cell r="B7" t="str">
            <v>Advertising Services</v>
          </cell>
        </row>
        <row r="8">
          <cell r="B8" t="str">
            <v>Aerospace/Defense</v>
          </cell>
        </row>
        <row r="9">
          <cell r="B9" t="str">
            <v>Aerospace/Defense-Equip</v>
          </cell>
        </row>
        <row r="10">
          <cell r="B10" t="str">
            <v>Agricultural Biotech</v>
          </cell>
        </row>
        <row r="11">
          <cell r="B11" t="str">
            <v>Agricultural Chemicals</v>
          </cell>
        </row>
        <row r="12">
          <cell r="B12" t="str">
            <v>Agricultural Operations</v>
          </cell>
        </row>
        <row r="13">
          <cell r="B13" t="str">
            <v>Air Pollution Control Eq</v>
          </cell>
        </row>
        <row r="14">
          <cell r="B14" t="str">
            <v>Airlines</v>
          </cell>
        </row>
        <row r="15">
          <cell r="B15" t="str">
            <v>Airport Develop/Maint</v>
          </cell>
        </row>
        <row r="16">
          <cell r="B16" t="str">
            <v>Apparel Manufacturers</v>
          </cell>
        </row>
        <row r="17">
          <cell r="B17" t="str">
            <v>Appliances</v>
          </cell>
        </row>
        <row r="18">
          <cell r="B18" t="str">
            <v>Applications Software</v>
          </cell>
        </row>
        <row r="19">
          <cell r="B19" t="str">
            <v>Athletic Equipment</v>
          </cell>
        </row>
        <row r="20">
          <cell r="B20" t="str">
            <v>Athletic Footwear</v>
          </cell>
        </row>
        <row r="21">
          <cell r="B21" t="str">
            <v>Audio/Video Products</v>
          </cell>
        </row>
        <row r="22">
          <cell r="B22" t="str">
            <v>Auto Repair Centers</v>
          </cell>
        </row>
        <row r="23">
          <cell r="B23" t="str">
            <v>Auto/Trk Prts&amp;Equip-Orig</v>
          </cell>
        </row>
        <row r="24">
          <cell r="B24" t="str">
            <v>Auto/Trk Prts&amp;Equip-Repl</v>
          </cell>
        </row>
        <row r="25">
          <cell r="B25" t="str">
            <v>Auto-Cars/Light Trucks</v>
          </cell>
        </row>
        <row r="26">
          <cell r="B26" t="str">
            <v>Auto-Med&amp;Heavy Duty Trks</v>
          </cell>
        </row>
        <row r="27">
          <cell r="B27" t="str">
            <v>Auto-Truck Trailers</v>
          </cell>
        </row>
        <row r="28">
          <cell r="B28" t="str">
            <v>Batteries/Battery Sys</v>
          </cell>
        </row>
        <row r="29">
          <cell r="B29" t="str">
            <v>Beverages-Non-alcoholic</v>
          </cell>
        </row>
        <row r="30">
          <cell r="B30" t="str">
            <v>Beverages-Wine/Spirits</v>
          </cell>
        </row>
        <row r="31">
          <cell r="B31" t="str">
            <v>Bicycle Manufacturing</v>
          </cell>
        </row>
        <row r="32">
          <cell r="B32" t="str">
            <v>Bldg Prod-Air&amp;Heating</v>
          </cell>
        </row>
        <row r="33">
          <cell r="B33" t="str">
            <v>Bldg Prod-Cement/Aggreg</v>
          </cell>
        </row>
        <row r="34">
          <cell r="B34" t="str">
            <v>Bldg Prod-Doors&amp;Windows</v>
          </cell>
        </row>
        <row r="35">
          <cell r="B35" t="str">
            <v>Bldg Prod-Light Fixtures</v>
          </cell>
        </row>
        <row r="36">
          <cell r="B36" t="str">
            <v>Bldg Prod-Wood</v>
          </cell>
        </row>
        <row r="37">
          <cell r="B37" t="str">
            <v>Bldg&amp;Construct Prod-Misc</v>
          </cell>
        </row>
        <row r="38">
          <cell r="B38" t="str">
            <v>Bldg-Residential/Commer</v>
          </cell>
        </row>
        <row r="39">
          <cell r="B39" t="str">
            <v>Brewery</v>
          </cell>
        </row>
        <row r="40">
          <cell r="B40" t="str">
            <v>Broadcast Serv/Program</v>
          </cell>
        </row>
        <row r="41">
          <cell r="B41" t="str">
            <v>Building&amp;Construct-Misc</v>
          </cell>
        </row>
        <row r="42">
          <cell r="B42" t="str">
            <v>Building-Heavy Construct</v>
          </cell>
        </row>
        <row r="43">
          <cell r="B43" t="str">
            <v>Building-Maint&amp;Service</v>
          </cell>
        </row>
        <row r="44">
          <cell r="B44" t="str">
            <v>Cable TV</v>
          </cell>
        </row>
        <row r="45">
          <cell r="B45" t="str">
            <v>Capacitors</v>
          </cell>
        </row>
        <row r="46">
          <cell r="B46" t="str">
            <v>Casino Hotels</v>
          </cell>
        </row>
        <row r="47">
          <cell r="B47" t="str">
            <v>Casino Services</v>
          </cell>
        </row>
        <row r="48">
          <cell r="B48" t="str">
            <v>Cellular Telecom</v>
          </cell>
        </row>
        <row r="49">
          <cell r="B49" t="str">
            <v>Ceramic Products</v>
          </cell>
        </row>
        <row r="50">
          <cell r="B50" t="str">
            <v>Chemicals-Diversified</v>
          </cell>
        </row>
        <row r="51">
          <cell r="B51" t="str">
            <v>Chemicals-Fibers</v>
          </cell>
        </row>
        <row r="52">
          <cell r="B52" t="str">
            <v>Chemicals-Other</v>
          </cell>
        </row>
        <row r="53">
          <cell r="B53" t="str">
            <v>Chemicals-Plastics</v>
          </cell>
        </row>
        <row r="54">
          <cell r="B54" t="str">
            <v>Chemicals-Specialty</v>
          </cell>
        </row>
        <row r="55">
          <cell r="B55" t="str">
            <v>Circuit Boards</v>
          </cell>
        </row>
        <row r="56">
          <cell r="B56" t="str">
            <v>Coal</v>
          </cell>
        </row>
        <row r="57">
          <cell r="B57" t="str">
            <v>Coatings/Paint</v>
          </cell>
        </row>
        <row r="58">
          <cell r="B58" t="str">
            <v>Coffee</v>
          </cell>
        </row>
        <row r="59">
          <cell r="B59" t="str">
            <v>Collectibles</v>
          </cell>
        </row>
        <row r="60">
          <cell r="B60" t="str">
            <v>Commer Banks Non-US</v>
          </cell>
        </row>
        <row r="61">
          <cell r="B61" t="str">
            <v>Commercial Serv-Finance</v>
          </cell>
        </row>
        <row r="62">
          <cell r="B62" t="str">
            <v>Commercial Services</v>
          </cell>
        </row>
        <row r="63">
          <cell r="B63" t="str">
            <v>Communications Software</v>
          </cell>
        </row>
        <row r="64">
          <cell r="B64" t="str">
            <v>Computer Aided Design</v>
          </cell>
        </row>
        <row r="65">
          <cell r="B65" t="str">
            <v>Computer Services</v>
          </cell>
        </row>
        <row r="66">
          <cell r="B66" t="str">
            <v>Computer Software</v>
          </cell>
        </row>
        <row r="67">
          <cell r="B67" t="str">
            <v>Computers</v>
          </cell>
        </row>
        <row r="68">
          <cell r="B68" t="str">
            <v>Computers-Integrated Sys</v>
          </cell>
        </row>
        <row r="69">
          <cell r="B69" t="str">
            <v>Computers-Memory Devices</v>
          </cell>
        </row>
        <row r="70">
          <cell r="B70" t="str">
            <v>Computers-Other</v>
          </cell>
        </row>
        <row r="71">
          <cell r="B71" t="str">
            <v>Computers-Peripher Equip</v>
          </cell>
        </row>
        <row r="72">
          <cell r="B72" t="str">
            <v>Consulting Services</v>
          </cell>
        </row>
        <row r="73">
          <cell r="B73" t="str">
            <v>Consumer Products-Misc</v>
          </cell>
        </row>
        <row r="74">
          <cell r="B74" t="str">
            <v>Containers-Metal/Glass</v>
          </cell>
        </row>
        <row r="75">
          <cell r="B75" t="str">
            <v>Containers-Paper/Plastic</v>
          </cell>
        </row>
        <row r="76">
          <cell r="B76" t="str">
            <v>Cosmetics&amp;Toiletries</v>
          </cell>
        </row>
        <row r="77">
          <cell r="B77" t="str">
            <v>Cruise Lines</v>
          </cell>
        </row>
        <row r="78">
          <cell r="B78" t="str">
            <v>Crystal&amp;Giftware</v>
          </cell>
        </row>
        <row r="79">
          <cell r="B79" t="str">
            <v>Data Processing/Mgmt</v>
          </cell>
        </row>
        <row r="80">
          <cell r="B80" t="str">
            <v>Decision Support Softwar</v>
          </cell>
        </row>
        <row r="81">
          <cell r="B81" t="str">
            <v>Diagnostic Equipment</v>
          </cell>
        </row>
        <row r="82">
          <cell r="B82" t="str">
            <v>Diamonds/Precious Stones</v>
          </cell>
        </row>
        <row r="83">
          <cell r="B83" t="str">
            <v>Distribution/Wholesale</v>
          </cell>
        </row>
        <row r="84">
          <cell r="B84" t="str">
            <v>Divers Oper/Commer Serv</v>
          </cell>
        </row>
        <row r="85">
          <cell r="B85" t="str">
            <v>Diversified Finan Serv</v>
          </cell>
        </row>
        <row r="86">
          <cell r="B86" t="str">
            <v>Diversified Manufact Op</v>
          </cell>
        </row>
        <row r="87">
          <cell r="B87" t="str">
            <v>Diversified Minerals</v>
          </cell>
        </row>
        <row r="88">
          <cell r="B88" t="str">
            <v>Diversified Operations</v>
          </cell>
        </row>
        <row r="89">
          <cell r="B89" t="str">
            <v>Drug Delivery Systems</v>
          </cell>
        </row>
        <row r="90">
          <cell r="B90" t="str">
            <v>E-Commerce/Products</v>
          </cell>
        </row>
        <row r="91">
          <cell r="B91" t="str">
            <v>E-Commerce/Services</v>
          </cell>
        </row>
        <row r="92">
          <cell r="B92" t="str">
            <v>Educational Software</v>
          </cell>
        </row>
        <row r="93">
          <cell r="B93" t="str">
            <v>Electric Products-Misc</v>
          </cell>
        </row>
        <row r="94">
          <cell r="B94" t="str">
            <v>Electric-Distribution</v>
          </cell>
        </row>
        <row r="95">
          <cell r="B95" t="str">
            <v>Electric-Generation</v>
          </cell>
        </row>
        <row r="96">
          <cell r="B96" t="str">
            <v>Electric-Integrated</v>
          </cell>
        </row>
        <row r="97">
          <cell r="B97" t="str">
            <v>Electric-Transmission</v>
          </cell>
        </row>
        <row r="98">
          <cell r="B98" t="str">
            <v>Electronic Compo-Misc</v>
          </cell>
        </row>
        <row r="99">
          <cell r="B99" t="str">
            <v>Electronic Compo-Semicon</v>
          </cell>
        </row>
        <row r="100">
          <cell r="B100" t="str">
            <v>Electronic Connectors</v>
          </cell>
        </row>
        <row r="101">
          <cell r="B101" t="str">
            <v>Electronic Design Automa</v>
          </cell>
        </row>
        <row r="102">
          <cell r="B102" t="str">
            <v>Electronic Measur Instr</v>
          </cell>
        </row>
        <row r="103">
          <cell r="B103" t="str">
            <v>Electronic Parts Distrib</v>
          </cell>
        </row>
        <row r="104">
          <cell r="B104" t="str">
            <v>Electronic Secur Devices</v>
          </cell>
        </row>
        <row r="105">
          <cell r="B105" t="str">
            <v>Electronics-Military</v>
          </cell>
        </row>
        <row r="106">
          <cell r="B106" t="str">
            <v>Energy-Alternate Sources</v>
          </cell>
        </row>
        <row r="107">
          <cell r="B107" t="str">
            <v>Engineering/R&amp;D Services</v>
          </cell>
        </row>
        <row r="108">
          <cell r="B108" t="str">
            <v>Engines-Internal Combust</v>
          </cell>
        </row>
        <row r="109">
          <cell r="B109" t="str">
            <v>Enterprise Software/Serv</v>
          </cell>
        </row>
        <row r="110">
          <cell r="B110" t="str">
            <v>Entertainment Software</v>
          </cell>
        </row>
        <row r="111">
          <cell r="B111" t="str">
            <v>Environ Consulting&amp;Eng</v>
          </cell>
        </row>
        <row r="112">
          <cell r="B112" t="str">
            <v>E-Services/Consulting</v>
          </cell>
        </row>
        <row r="113">
          <cell r="B113" t="str">
            <v>Explosives</v>
          </cell>
        </row>
        <row r="114">
          <cell r="B114" t="str">
            <v>Extended Serv Contracts</v>
          </cell>
        </row>
        <row r="115">
          <cell r="B115" t="str">
            <v>Feminine Health Care Prd</v>
          </cell>
        </row>
        <row r="116">
          <cell r="B116" t="str">
            <v>Finance-Auto Loans</v>
          </cell>
        </row>
        <row r="117">
          <cell r="B117" t="str">
            <v>Finance-Commercial</v>
          </cell>
        </row>
        <row r="118">
          <cell r="B118" t="str">
            <v>Finance-Consumer Loans</v>
          </cell>
        </row>
        <row r="119">
          <cell r="B119" t="str">
            <v>Finance-Credit Card</v>
          </cell>
        </row>
        <row r="120">
          <cell r="B120" t="str">
            <v>Finance-Invest Bnkr/Brkr</v>
          </cell>
        </row>
        <row r="121">
          <cell r="B121" t="str">
            <v>Finance-Leasing Compan</v>
          </cell>
        </row>
        <row r="122">
          <cell r="B122" t="str">
            <v>Finance-Mtge Loan/Banker</v>
          </cell>
        </row>
        <row r="123">
          <cell r="B123" t="str">
            <v>Finance-Other Services</v>
          </cell>
        </row>
        <row r="124">
          <cell r="B124" t="str">
            <v>Firearms&amp;Ammunition</v>
          </cell>
        </row>
        <row r="125">
          <cell r="B125" t="str">
            <v>Fisheries</v>
          </cell>
        </row>
        <row r="126">
          <cell r="B126" t="str">
            <v>Food-Baking</v>
          </cell>
        </row>
        <row r="127">
          <cell r="B127" t="str">
            <v>Food-Canned</v>
          </cell>
        </row>
        <row r="128">
          <cell r="B128" t="str">
            <v>Food-Catering</v>
          </cell>
        </row>
        <row r="129">
          <cell r="B129" t="str">
            <v>Food-Confectionery</v>
          </cell>
        </row>
        <row r="130">
          <cell r="B130" t="str">
            <v>Food-Dairy Products</v>
          </cell>
        </row>
        <row r="131">
          <cell r="B131" t="str">
            <v>Food-Flour&amp;Grain</v>
          </cell>
        </row>
        <row r="132">
          <cell r="B132" t="str">
            <v>Food-Meat Products</v>
          </cell>
        </row>
        <row r="133">
          <cell r="B133" t="str">
            <v>Food-Misc/Diversified</v>
          </cell>
        </row>
        <row r="134">
          <cell r="B134" t="str">
            <v>Food-Retail</v>
          </cell>
        </row>
        <row r="135">
          <cell r="B135" t="str">
            <v>Food-Wholesale/Distrib</v>
          </cell>
        </row>
        <row r="136">
          <cell r="B136" t="str">
            <v>Footwear&amp;Related Apparel</v>
          </cell>
        </row>
        <row r="137">
          <cell r="B137" t="str">
            <v>Forestry</v>
          </cell>
        </row>
        <row r="138">
          <cell r="B138" t="str">
            <v>Funeral Serv&amp;Rel Items</v>
          </cell>
        </row>
        <row r="139">
          <cell r="B139" t="str">
            <v>Gambling (Non-Hotel)</v>
          </cell>
        </row>
        <row r="140">
          <cell r="B140" t="str">
            <v>Gas-Distribution</v>
          </cell>
        </row>
        <row r="141">
          <cell r="B141" t="str">
            <v>Gold Mining</v>
          </cell>
        </row>
        <row r="142">
          <cell r="B142" t="str">
            <v>Golf</v>
          </cell>
        </row>
        <row r="143">
          <cell r="B143" t="str">
            <v>Hazardous Waste Disposal</v>
          </cell>
        </row>
        <row r="144">
          <cell r="B144" t="str">
            <v>Healthcare Safety Device</v>
          </cell>
        </row>
        <row r="145">
          <cell r="B145" t="str">
            <v>Home Furnishings</v>
          </cell>
        </row>
        <row r="146">
          <cell r="B146" t="str">
            <v>Hospital Beds/Equipment</v>
          </cell>
        </row>
        <row r="147">
          <cell r="B147" t="str">
            <v>Hotels&amp;Motels</v>
          </cell>
        </row>
        <row r="148">
          <cell r="B148" t="str">
            <v>Housewares</v>
          </cell>
        </row>
        <row r="149">
          <cell r="B149" t="str">
            <v>Identification Sys/Dev</v>
          </cell>
        </row>
        <row r="150">
          <cell r="B150" t="str">
            <v>Import/Export</v>
          </cell>
        </row>
        <row r="151">
          <cell r="B151" t="str">
            <v>Inactive/Unknown</v>
          </cell>
        </row>
        <row r="152">
          <cell r="B152" t="str">
            <v>Independ Power Producer</v>
          </cell>
        </row>
        <row r="153">
          <cell r="B153" t="str">
            <v>Industr Audio&amp;Video Prod</v>
          </cell>
        </row>
        <row r="154">
          <cell r="B154" t="str">
            <v>Industrial Automat/Robot</v>
          </cell>
        </row>
        <row r="155">
          <cell r="B155" t="str">
            <v>Industrial Gases</v>
          </cell>
        </row>
        <row r="156">
          <cell r="B156" t="str">
            <v>Instruments-Controls</v>
          </cell>
        </row>
        <row r="157">
          <cell r="B157" t="str">
            <v>Insurance Brokers</v>
          </cell>
        </row>
        <row r="158">
          <cell r="B158" t="str">
            <v>Interior Design/Architec</v>
          </cell>
        </row>
        <row r="159">
          <cell r="B159" t="str">
            <v>Internet Applic Sftwr</v>
          </cell>
        </row>
        <row r="160">
          <cell r="B160" t="str">
            <v>Internet Connectiv Svcs</v>
          </cell>
        </row>
        <row r="161">
          <cell r="B161" t="str">
            <v>Internet Content-Entmnt</v>
          </cell>
        </row>
        <row r="162">
          <cell r="B162" t="str">
            <v>Internet Content-Info/Ne</v>
          </cell>
        </row>
        <row r="163">
          <cell r="B163" t="str">
            <v>Internet Incubators</v>
          </cell>
        </row>
        <row r="164">
          <cell r="B164" t="str">
            <v>Internet Infrastr Sftwr</v>
          </cell>
        </row>
        <row r="165">
          <cell r="B165" t="str">
            <v>Internet Security</v>
          </cell>
        </row>
        <row r="166">
          <cell r="B166" t="str">
            <v>Internet Telephony</v>
          </cell>
        </row>
        <row r="167">
          <cell r="B167" t="str">
            <v>Intimate Apparel</v>
          </cell>
        </row>
        <row r="168">
          <cell r="B168" t="str">
            <v>Invest Mgmnt/Advis Serv</v>
          </cell>
        </row>
        <row r="169">
          <cell r="B169" t="str">
            <v>Investment Companies</v>
          </cell>
        </row>
        <row r="170">
          <cell r="B170" t="str">
            <v>Lasers-Syst/Components</v>
          </cell>
        </row>
        <row r="171">
          <cell r="B171" t="str">
            <v>Life/Health Insurance</v>
          </cell>
        </row>
        <row r="172">
          <cell r="B172" t="str">
            <v>Lighting Products&amp;Sys</v>
          </cell>
        </row>
        <row r="173">
          <cell r="B173" t="str">
            <v>Linen Supply&amp;Rel Items</v>
          </cell>
        </row>
        <row r="174">
          <cell r="B174" t="str">
            <v>Lottery Services</v>
          </cell>
        </row>
        <row r="175">
          <cell r="B175" t="str">
            <v>Mach Tools&amp;Rel Products</v>
          </cell>
        </row>
        <row r="176">
          <cell r="B176" t="str">
            <v>Machinery-Constr&amp;Mining</v>
          </cell>
        </row>
        <row r="177">
          <cell r="B177" t="str">
            <v>Machinery-Electric Util</v>
          </cell>
        </row>
        <row r="178">
          <cell r="B178" t="str">
            <v>Machinery-Electrical</v>
          </cell>
        </row>
        <row r="179">
          <cell r="B179" t="str">
            <v>Machinery-Farm</v>
          </cell>
        </row>
        <row r="180">
          <cell r="B180" t="str">
            <v>Machinery-General Indust</v>
          </cell>
        </row>
        <row r="181">
          <cell r="B181" t="str">
            <v>Machinery-Material Handl</v>
          </cell>
        </row>
        <row r="182">
          <cell r="B182" t="str">
            <v>Machinery-Print Trade</v>
          </cell>
        </row>
        <row r="183">
          <cell r="B183" t="str">
            <v>Machinery-Pumps</v>
          </cell>
        </row>
        <row r="184">
          <cell r="B184" t="str">
            <v>Machinery-Therml Process</v>
          </cell>
        </row>
        <row r="185">
          <cell r="B185" t="str">
            <v>Marine Services</v>
          </cell>
        </row>
        <row r="186">
          <cell r="B186" t="str">
            <v>Medical Instruments</v>
          </cell>
        </row>
        <row r="187">
          <cell r="B187" t="str">
            <v>Medical Products</v>
          </cell>
        </row>
        <row r="188">
          <cell r="B188" t="str">
            <v>Medical Steriliz Product</v>
          </cell>
        </row>
        <row r="189">
          <cell r="B189" t="str">
            <v>Medical-Biomedical/Gene</v>
          </cell>
        </row>
        <row r="190">
          <cell r="B190" t="str">
            <v>Medical-Drugs</v>
          </cell>
        </row>
        <row r="191">
          <cell r="B191" t="str">
            <v>Medical-Generic Drugs</v>
          </cell>
        </row>
        <row r="192">
          <cell r="B192" t="str">
            <v>Medical-Hospitals</v>
          </cell>
        </row>
        <row r="193">
          <cell r="B193" t="str">
            <v>Medical-Outptnt/Home Med</v>
          </cell>
        </row>
        <row r="194">
          <cell r="B194" t="str">
            <v>Medical-Whsle Drug Dist</v>
          </cell>
        </row>
        <row r="195">
          <cell r="B195" t="str">
            <v>Metal Processors&amp;Fabrica</v>
          </cell>
        </row>
        <row r="196">
          <cell r="B196" t="str">
            <v>Metal Products-Fasteners</v>
          </cell>
        </row>
        <row r="197">
          <cell r="B197" t="str">
            <v>Metal-Aluminum</v>
          </cell>
        </row>
        <row r="198">
          <cell r="B198" t="str">
            <v>Metal-Copper</v>
          </cell>
        </row>
        <row r="199">
          <cell r="B199" t="str">
            <v>Metal-Diversified</v>
          </cell>
        </row>
        <row r="200">
          <cell r="B200" t="str">
            <v>Metal-Iron</v>
          </cell>
        </row>
        <row r="201">
          <cell r="B201" t="str">
            <v>Mining Services</v>
          </cell>
        </row>
        <row r="202">
          <cell r="B202" t="str">
            <v>Miscellaneous Manufactur</v>
          </cell>
        </row>
        <row r="203">
          <cell r="B203" t="str">
            <v>Money Center Banks</v>
          </cell>
        </row>
        <row r="204">
          <cell r="B204" t="str">
            <v>Mortgage Banks</v>
          </cell>
        </row>
        <row r="205">
          <cell r="B205" t="str">
            <v>Motion Pictures&amp;Services</v>
          </cell>
        </row>
        <row r="206">
          <cell r="B206" t="str">
            <v>Motorcycle/Motor Scooter</v>
          </cell>
        </row>
        <row r="207">
          <cell r="B207" t="str">
            <v>Multilevel Dir Selling</v>
          </cell>
        </row>
        <row r="208">
          <cell r="B208" t="str">
            <v>Multi-line Insurance</v>
          </cell>
        </row>
        <row r="209">
          <cell r="B209" t="str">
            <v>Multimedia</v>
          </cell>
        </row>
        <row r="210">
          <cell r="B210" t="str">
            <v>Music</v>
          </cell>
        </row>
        <row r="211">
          <cell r="B211" t="str">
            <v>Networking Products</v>
          </cell>
        </row>
        <row r="212">
          <cell r="B212" t="str">
            <v>Non-Ferrous Metals</v>
          </cell>
        </row>
        <row r="213">
          <cell r="B213" t="str">
            <v>Non-hazardous Waste Disp</v>
          </cell>
        </row>
        <row r="214">
          <cell r="B214" t="str">
            <v>Office Automation&amp;Equip</v>
          </cell>
        </row>
        <row r="215">
          <cell r="B215" t="str">
            <v>Office Furnishings-Orig</v>
          </cell>
        </row>
        <row r="216">
          <cell r="B216" t="str">
            <v>Office Supplies&amp;Forms</v>
          </cell>
        </row>
        <row r="217">
          <cell r="B217" t="str">
            <v>Oil Comp-Explor&amp;Prodtn</v>
          </cell>
        </row>
        <row r="218">
          <cell r="B218" t="str">
            <v>Oil Comp-Integrated</v>
          </cell>
        </row>
        <row r="219">
          <cell r="B219" t="str">
            <v>Oil Field Mach&amp;Equip</v>
          </cell>
        </row>
        <row r="220">
          <cell r="B220" t="str">
            <v>Oil Refining&amp;Marketing</v>
          </cell>
        </row>
        <row r="221">
          <cell r="B221" t="str">
            <v>Oil&amp;Gas Drilling</v>
          </cell>
        </row>
        <row r="222">
          <cell r="B222" t="str">
            <v>Oil-Field Services</v>
          </cell>
        </row>
        <row r="223">
          <cell r="B223" t="str">
            <v>Optical Supplies</v>
          </cell>
        </row>
        <row r="224">
          <cell r="B224" t="str">
            <v>Paper&amp;Related Products</v>
          </cell>
        </row>
        <row r="225">
          <cell r="B225" t="str">
            <v>Pastoral&amp;Agricultural</v>
          </cell>
        </row>
        <row r="226">
          <cell r="B226" t="str">
            <v>Petrochemicals</v>
          </cell>
        </row>
        <row r="227">
          <cell r="B227" t="str">
            <v>Photo Equipment&amp;Supplies</v>
          </cell>
        </row>
        <row r="228">
          <cell r="B228" t="str">
            <v>Pipelines</v>
          </cell>
        </row>
        <row r="229">
          <cell r="B229" t="str">
            <v>Platinum</v>
          </cell>
        </row>
        <row r="230">
          <cell r="B230" t="str">
            <v>Pollution Control</v>
          </cell>
        </row>
        <row r="231">
          <cell r="B231" t="str">
            <v>Poultry</v>
          </cell>
        </row>
        <row r="232">
          <cell r="B232" t="str">
            <v>Power Conv/Supply Equip</v>
          </cell>
        </row>
        <row r="233">
          <cell r="B233" t="str">
            <v>Precious Metals</v>
          </cell>
        </row>
        <row r="234">
          <cell r="B234" t="str">
            <v>Printing-Commercial</v>
          </cell>
        </row>
        <row r="235">
          <cell r="B235" t="str">
            <v>Professional Sports</v>
          </cell>
        </row>
        <row r="236">
          <cell r="B236" t="str">
            <v>Property Trust</v>
          </cell>
        </row>
        <row r="237">
          <cell r="B237" t="str">
            <v>Property/Casualty Ins</v>
          </cell>
        </row>
        <row r="238">
          <cell r="B238" t="str">
            <v>Public Thoroughfares</v>
          </cell>
        </row>
        <row r="239">
          <cell r="B239" t="str">
            <v>Publishing-Books</v>
          </cell>
        </row>
        <row r="240">
          <cell r="B240" t="str">
            <v>Publishing-Newspapers</v>
          </cell>
        </row>
        <row r="241">
          <cell r="B241" t="str">
            <v>Publishing-Periodicals</v>
          </cell>
        </row>
        <row r="242">
          <cell r="B242" t="str">
            <v>Radio</v>
          </cell>
        </row>
        <row r="243">
          <cell r="B243" t="str">
            <v>Real Estate Mgmnt/Servic</v>
          </cell>
        </row>
        <row r="244">
          <cell r="B244" t="str">
            <v>Real Estate Oper/Develop</v>
          </cell>
        </row>
        <row r="245">
          <cell r="B245" t="str">
            <v>Recreational Centers</v>
          </cell>
        </row>
        <row r="246">
          <cell r="B246" t="str">
            <v>Recycling</v>
          </cell>
        </row>
        <row r="247">
          <cell r="B247" t="str">
            <v>Regional Agencies</v>
          </cell>
        </row>
        <row r="248">
          <cell r="B248" t="str">
            <v>Regional Banks-Non US</v>
          </cell>
        </row>
        <row r="249">
          <cell r="B249" t="str">
            <v>Reinsurance</v>
          </cell>
        </row>
        <row r="250">
          <cell r="B250" t="str">
            <v>REITS-Diversified</v>
          </cell>
        </row>
        <row r="251">
          <cell r="B251" t="str">
            <v>Rental Auto/Equipment</v>
          </cell>
        </row>
        <row r="252">
          <cell r="B252" t="str">
            <v>Resorts/Theme Parks</v>
          </cell>
        </row>
        <row r="253">
          <cell r="B253" t="str">
            <v>Retail-Apparel/Shoe</v>
          </cell>
        </row>
        <row r="254">
          <cell r="B254" t="str">
            <v>Retail-Appliances</v>
          </cell>
        </row>
        <row r="255">
          <cell r="B255" t="str">
            <v>Retail-Auto Parts</v>
          </cell>
        </row>
        <row r="256">
          <cell r="B256" t="str">
            <v>Retail-Automobile</v>
          </cell>
        </row>
        <row r="257">
          <cell r="B257" t="str">
            <v>Retail-Building Products</v>
          </cell>
        </row>
        <row r="258">
          <cell r="B258" t="str">
            <v>Retail-Computer Equip</v>
          </cell>
        </row>
        <row r="259">
          <cell r="B259" t="str">
            <v>Retail-Consumer Electron</v>
          </cell>
        </row>
        <row r="260">
          <cell r="B260" t="str">
            <v>Retail-Convenience Store</v>
          </cell>
        </row>
        <row r="261">
          <cell r="B261" t="str">
            <v>Retail-Discount</v>
          </cell>
        </row>
        <row r="262">
          <cell r="B262" t="str">
            <v>Retail-Drug Store</v>
          </cell>
        </row>
        <row r="263">
          <cell r="B263" t="str">
            <v>Retail-Home Furnishings</v>
          </cell>
        </row>
        <row r="264">
          <cell r="B264" t="str">
            <v>Retail-Hypermarkets</v>
          </cell>
        </row>
        <row r="265">
          <cell r="B265" t="str">
            <v>Retail-Jewelry</v>
          </cell>
        </row>
        <row r="266">
          <cell r="B266" t="str">
            <v>Retail-Major Dept Store</v>
          </cell>
        </row>
        <row r="267">
          <cell r="B267" t="str">
            <v>Retail-Misc/Diversified</v>
          </cell>
        </row>
        <row r="268">
          <cell r="B268" t="str">
            <v>Retail-Perfume&amp;Cosmetics</v>
          </cell>
        </row>
        <row r="269">
          <cell r="B269" t="str">
            <v>Retail-Petroleum Prod</v>
          </cell>
        </row>
        <row r="270">
          <cell r="B270" t="str">
            <v>Retail-Regnl Dept Store</v>
          </cell>
        </row>
        <row r="271">
          <cell r="B271" t="str">
            <v>Retail-Restaurants</v>
          </cell>
        </row>
        <row r="272">
          <cell r="B272" t="str">
            <v>Retail-Sporting Goods</v>
          </cell>
        </row>
        <row r="273">
          <cell r="B273" t="str">
            <v>Rubber&amp;Vinyl</v>
          </cell>
        </row>
        <row r="274">
          <cell r="B274" t="str">
            <v>Rubber/Plastic Products</v>
          </cell>
        </row>
        <row r="275">
          <cell r="B275" t="str">
            <v>Rubber-Tires</v>
          </cell>
        </row>
        <row r="276">
          <cell r="B276" t="str">
            <v>Satellite Telecom</v>
          </cell>
        </row>
        <row r="277">
          <cell r="B277" t="str">
            <v>Schools</v>
          </cell>
        </row>
        <row r="278">
          <cell r="B278" t="str">
            <v>Security Services</v>
          </cell>
        </row>
        <row r="279">
          <cell r="B279" t="str">
            <v>Semicon Compo-Intg Circu</v>
          </cell>
        </row>
        <row r="280">
          <cell r="B280" t="str">
            <v>Semiconductor Equipment</v>
          </cell>
        </row>
        <row r="281">
          <cell r="B281" t="str">
            <v>Shipbuilding</v>
          </cell>
        </row>
        <row r="282">
          <cell r="B282" t="str">
            <v>Silver Mining</v>
          </cell>
        </row>
        <row r="283">
          <cell r="B283" t="str">
            <v>Soap&amp;Cleaning Prepar</v>
          </cell>
        </row>
        <row r="284">
          <cell r="B284" t="str">
            <v>Special Purpose Banks</v>
          </cell>
        </row>
        <row r="285">
          <cell r="B285" t="str">
            <v>Specified Purpose Acquis</v>
          </cell>
        </row>
        <row r="286">
          <cell r="B286" t="str">
            <v>Steel Pipe&amp;Tube</v>
          </cell>
        </row>
        <row r="287">
          <cell r="B287" t="str">
            <v>Steel-Producers</v>
          </cell>
        </row>
        <row r="288">
          <cell r="B288" t="str">
            <v>Steel-Specialty</v>
          </cell>
        </row>
        <row r="289">
          <cell r="B289" t="str">
            <v>Storage/Warehousing</v>
          </cell>
        </row>
        <row r="290">
          <cell r="B290" t="str">
            <v>Sugar</v>
          </cell>
        </row>
        <row r="291">
          <cell r="B291" t="str">
            <v>Superconductor Prod&amp;Sys</v>
          </cell>
        </row>
        <row r="292">
          <cell r="B292" t="str">
            <v>Tea</v>
          </cell>
        </row>
        <row r="293">
          <cell r="B293" t="str">
            <v>Telecom Eq Fiber Optics</v>
          </cell>
        </row>
        <row r="294">
          <cell r="B294" t="str">
            <v>Telecom Services</v>
          </cell>
        </row>
        <row r="295">
          <cell r="B295" t="str">
            <v>Telecommunication Equip</v>
          </cell>
        </row>
        <row r="296">
          <cell r="B296" t="str">
            <v>Telephone-Integrated</v>
          </cell>
        </row>
        <row r="297">
          <cell r="B297" t="str">
            <v>Television</v>
          </cell>
        </row>
        <row r="298">
          <cell r="B298" t="str">
            <v>Textile-Apparel</v>
          </cell>
        </row>
        <row r="299">
          <cell r="B299" t="str">
            <v>Textile-Home Furnishings</v>
          </cell>
        </row>
        <row r="300">
          <cell r="B300" t="str">
            <v>Textile-Products</v>
          </cell>
        </row>
        <row r="301">
          <cell r="B301" t="str">
            <v>Theaters</v>
          </cell>
        </row>
        <row r="302">
          <cell r="B302" t="str">
            <v>Therapeutics</v>
          </cell>
        </row>
        <row r="303">
          <cell r="B303" t="str">
            <v>Tobacco</v>
          </cell>
        </row>
        <row r="304">
          <cell r="B304" t="str">
            <v>Tools-Hand Held</v>
          </cell>
        </row>
        <row r="305">
          <cell r="B305" t="str">
            <v>Toys</v>
          </cell>
        </row>
        <row r="306">
          <cell r="B306" t="str">
            <v>Transactional Software</v>
          </cell>
        </row>
        <row r="307">
          <cell r="B307" t="str">
            <v>Transport-Air Freight</v>
          </cell>
        </row>
        <row r="308">
          <cell r="B308" t="str">
            <v>Transport-Equip&amp;Leasng</v>
          </cell>
        </row>
        <row r="309">
          <cell r="B309" t="str">
            <v>Transport-Marine</v>
          </cell>
        </row>
        <row r="310">
          <cell r="B310" t="str">
            <v>Transport-Rail</v>
          </cell>
        </row>
        <row r="311">
          <cell r="B311" t="str">
            <v>Transport-Services</v>
          </cell>
        </row>
        <row r="312">
          <cell r="B312" t="str">
            <v>Transport-Truck</v>
          </cell>
        </row>
        <row r="313">
          <cell r="B313" t="str">
            <v>Travel Services</v>
          </cell>
        </row>
        <row r="314">
          <cell r="B314" t="str">
            <v>Venture Capital</v>
          </cell>
        </row>
        <row r="315">
          <cell r="B315" t="str">
            <v>Veterinary Diagnostics</v>
          </cell>
        </row>
        <row r="316">
          <cell r="B316" t="str">
            <v>Vitamins&amp;Nutrition Prod</v>
          </cell>
        </row>
        <row r="317">
          <cell r="B317" t="str">
            <v>Water</v>
          </cell>
        </row>
        <row r="318">
          <cell r="B318" t="str">
            <v>Water Treatment Systems</v>
          </cell>
        </row>
        <row r="319">
          <cell r="B319" t="str">
            <v>Web Portals/ISP</v>
          </cell>
        </row>
        <row r="320">
          <cell r="B320" t="str">
            <v>Whsing&amp;Harbor Trans Serv</v>
          </cell>
        </row>
        <row r="321">
          <cell r="B321" t="str">
            <v>Wire&amp;Cable Products</v>
          </cell>
        </row>
        <row r="322">
          <cell r="B322" t="str">
            <v>Wireless Equipment</v>
          </cell>
        </row>
        <row r="323">
          <cell r="B323" t="str">
            <v>Wool</v>
          </cell>
        </row>
        <row r="324">
          <cell r="B324" t="str">
            <v>X-Ray Equipment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Sheet Index"/>
      <sheetName val="Docum.Excel"/>
      <sheetName val="Docum.Val."/>
      <sheetName val="Resumen de escenario"/>
      <sheetName val="Resumen de escenario 2"/>
      <sheetName val="Resumen de escenario 3"/>
      <sheetName val="Resumen de escenario 4"/>
      <sheetName val="Modelo"/>
      <sheetName val="REPORT (2)"/>
      <sheetName val="REPORT"/>
      <sheetName val="Costo de Capital"/>
      <sheetName val="Beta"/>
      <sheetName val="Lev Beta"/>
      <sheetName val="Tornado"/>
      <sheetName val="Spid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2">
          <cell r="B12">
            <v>90</v>
          </cell>
        </row>
        <row r="30">
          <cell r="B30">
            <v>0.3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Sheet Index"/>
      <sheetName val="Conceptos"/>
      <sheetName val="Resumen de escenario"/>
      <sheetName val="Resumen de escenario 2"/>
      <sheetName val="Modelo"/>
      <sheetName val="REPORT"/>
      <sheetName val="Tornado"/>
      <sheetName val="Spider"/>
      <sheetName val="Costo Patrimonio"/>
      <sheetName val="BANCOS"/>
      <sheetName val="Proveedor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4">
          <cell r="B14">
            <v>90</v>
          </cell>
        </row>
      </sheetData>
      <sheetData sheetId="5" refreshError="1"/>
      <sheetData sheetId="6" refreshError="1"/>
      <sheetData sheetId="7" refreshError="1"/>
      <sheetData sheetId="8"/>
      <sheetData sheetId="9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Sheet Index"/>
      <sheetName val="Activos Fijos"/>
      <sheetName val="Bancos"/>
      <sheetName val="Beta"/>
      <sheetName val="EMPRESA"/>
      <sheetName val="Proyecto"/>
      <sheetName val="Consolidado"/>
      <sheetName val="Mensual"/>
      <sheetName val="Primas"/>
      <sheetName val="Proveedores"/>
      <sheetName val="Proveedores (2)"/>
      <sheetName val="Graf WACC"/>
      <sheetName val="Temario"/>
      <sheetName val="GráfFdeC"/>
      <sheetName val="GráfEVA"/>
    </sheetNames>
    <sheetDataSet>
      <sheetData sheetId="0"/>
      <sheetData sheetId="1"/>
      <sheetData sheetId="2"/>
      <sheetData sheetId="3"/>
      <sheetData sheetId="4">
        <row r="145">
          <cell r="A145" t="str">
            <v>BALANCE GRAL CONSOLIDADO</v>
          </cell>
        </row>
      </sheetData>
      <sheetData sheetId="5"/>
      <sheetData sheetId="6">
        <row r="101">
          <cell r="A101" t="str">
            <v>FLUJO DE CAJA LIBRE WACC PROMEDIO</v>
          </cell>
        </row>
      </sheetData>
      <sheetData sheetId="7"/>
      <sheetData sheetId="8"/>
      <sheetData sheetId="9">
        <row r="13">
          <cell r="C13">
            <v>0.22773766315482513</v>
          </cell>
        </row>
      </sheetData>
      <sheetData sheetId="10"/>
      <sheetData sheetId="11" refreshError="1"/>
      <sheetData sheetId="12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BAL"/>
      <sheetName val="AÑO 2002"/>
      <sheetName val="AJUSTE"/>
      <sheetName val="AÑO 2003"/>
      <sheetName val="LIQUDA"/>
      <sheetName val="Gráf z-score"/>
      <sheetName val="Gráf Estac"/>
      <sheetName val="AÑO 2004"/>
      <sheetName val="AÑO 2005"/>
      <sheetName val="PDC"/>
      <sheetName val="EVEREST"/>
      <sheetName val="Hoja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1">
          <cell r="AO1">
            <v>2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Indice"/>
      <sheetName val="Conceptos"/>
      <sheetName val="Doc.Excel"/>
      <sheetName val="Cap Trabajo"/>
      <sheetName val="DPC"/>
      <sheetName val="DPC Residuo"/>
      <sheetName val="Resumen de escenario"/>
      <sheetName val="Resumen de escenario 2"/>
      <sheetName val="Beneficio Costo"/>
      <sheetName val="Crédito Bancario"/>
      <sheetName val="Cto Oportunid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7">
          <cell r="C27">
            <v>1.7999999999999999E-2</v>
          </cell>
        </row>
        <row r="28">
          <cell r="C28">
            <v>10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Conceptos"/>
      <sheetName val="Costo de Capital"/>
      <sheetName val="BANCOS"/>
      <sheetName val="Crédito Bancos"/>
      <sheetName val="Proveedores"/>
      <sheetName val="Estimado"/>
      <sheetName val="CAPM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Menú"/>
      <sheetName val="PROYECTO"/>
      <sheetName val="ACTIVOS FIJOS"/>
      <sheetName val="F de C Proyecto"/>
      <sheetName val="EMPRESA"/>
      <sheetName val="CONSOLIDADO"/>
      <sheetName val="F de C Consolidado"/>
      <sheetName val="Módulo1"/>
      <sheetName val="Módulo2"/>
      <sheetName val="Módulo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Sheet Index"/>
      <sheetName val="Documentación"/>
      <sheetName val="Resumen de escenario"/>
      <sheetName val="Resumen de escenario 2"/>
      <sheetName val="Modelo"/>
      <sheetName val="Tir Múltiples"/>
      <sheetName val="Matemáticas Financieras"/>
      <sheetName val="Beta Supervalores"/>
      <sheetName val="ke"/>
      <sheetName val="BANCOS"/>
      <sheetName val="Proveedores"/>
      <sheetName val="Hoja7"/>
      <sheetName val="Hoja8"/>
      <sheetName val="Hoja9"/>
      <sheetName val="Hoja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Conceptos"/>
      <sheetName val="Costo de Capital"/>
      <sheetName val="BANCOS"/>
      <sheetName val="Crédito Bancos"/>
      <sheetName val="Proveedores"/>
      <sheetName val="Estimado"/>
      <sheetName val="CAPM"/>
    </sheetNames>
    <sheetDataSet>
      <sheetData sheetId="0" refreshError="1"/>
      <sheetData sheetId="1"/>
      <sheetData sheetId="2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Menú"/>
      <sheetName val="PROYECTO"/>
      <sheetName val="ACTIVOS FIJOS"/>
      <sheetName val="F de C Proyecto"/>
      <sheetName val="EMPRESA"/>
      <sheetName val="CONSOLIDADO"/>
      <sheetName val="F de C Consolidado"/>
      <sheetName val="Módulo1"/>
      <sheetName val="Módulo2"/>
      <sheetName val="Módulo3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Sheet Index"/>
      <sheetName val="Conceptos"/>
      <sheetName val="Pasos"/>
      <sheetName val="CB_DATA_"/>
      <sheetName val="Modelo"/>
      <sheetName val="Resumen de escenario"/>
      <sheetName val="Cto Crédito"/>
      <sheetName val="Cto Proveedores"/>
      <sheetName val="Cto Patrimonio"/>
      <sheetName val="Emergentes"/>
      <sheetName val="NODERFEL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Sheet Index"/>
      <sheetName val="Conceptos"/>
      <sheetName val="Pasos"/>
      <sheetName val="Modelo"/>
      <sheetName val="Resumen de escenario"/>
      <sheetName val="Cto Crédito"/>
      <sheetName val="Cto Proveedores"/>
      <sheetName val="Cto Patrimonio"/>
      <sheetName val="Emergentes"/>
      <sheetName val="NODERFEL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://www.damodaran.com/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pages.stern.nyu.edu/~ealtman/" TargetMode="External"/><Relationship Id="rId1" Type="http://schemas.openxmlformats.org/officeDocument/2006/relationships/hyperlink" Target="http://www.12manage.com/methods_altman_z-score_es.html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pages.stern.nyu.edu/~adamodar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eva.com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creditguru.com/CalcAltZ.shtml" TargetMode="External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6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tASAPSheetIndex"/>
  <dimension ref="A1:A13"/>
  <sheetViews>
    <sheetView tabSelected="1" zoomScale="160" zoomScaleNormal="160" workbookViewId="0"/>
  </sheetViews>
  <sheetFormatPr baseColWidth="10" defaultRowHeight="12.75"/>
  <cols>
    <col min="1" max="1" width="21" style="111" bestFit="1" customWidth="1"/>
    <col min="2" max="16384" width="11.42578125" style="111"/>
  </cols>
  <sheetData>
    <row r="1" spans="1:1" ht="15.75">
      <c r="A1" s="110" t="s">
        <v>785</v>
      </c>
    </row>
    <row r="2" spans="1:1">
      <c r="A2" s="171" t="s">
        <v>786</v>
      </c>
    </row>
    <row r="3" spans="1:1">
      <c r="A3" s="171" t="s">
        <v>787</v>
      </c>
    </row>
    <row r="4" spans="1:1">
      <c r="A4" s="171" t="s">
        <v>788</v>
      </c>
    </row>
    <row r="5" spans="1:1">
      <c r="A5" s="171" t="s">
        <v>886</v>
      </c>
    </row>
    <row r="6" spans="1:1">
      <c r="A6" s="171" t="s">
        <v>789</v>
      </c>
    </row>
    <row r="7" spans="1:1">
      <c r="A7" s="171" t="s">
        <v>790</v>
      </c>
    </row>
    <row r="8" spans="1:1">
      <c r="A8" s="171" t="s">
        <v>791</v>
      </c>
    </row>
    <row r="9" spans="1:1">
      <c r="A9" s="171" t="s">
        <v>792</v>
      </c>
    </row>
    <row r="10" spans="1:1">
      <c r="A10" s="171" t="s">
        <v>793</v>
      </c>
    </row>
    <row r="11" spans="1:1">
      <c r="A11" s="171" t="s">
        <v>917</v>
      </c>
    </row>
    <row r="12" spans="1:1">
      <c r="A12" s="171" t="s">
        <v>918</v>
      </c>
    </row>
    <row r="13" spans="1:1">
      <c r="A13" s="171" t="s">
        <v>960</v>
      </c>
    </row>
  </sheetData>
  <phoneticPr fontId="2" type="noConversion"/>
  <hyperlinks>
    <hyperlink ref="A2" location="'Conceptos'!A1" display="'Conceptos'!A1"/>
    <hyperlink ref="A3" location="'Pasos'!A1" display="'Pasos'!A1"/>
    <hyperlink ref="A4" location="'Modelo'!A1" display="'Modelo'!A1"/>
    <hyperlink ref="A5" location="'Resumen de escenario'!A1" display="'Resumen de escenario'!A1"/>
    <hyperlink ref="A6" location="'Cto Crédito'!A1" display="'Cto Crédito'!A1"/>
    <hyperlink ref="A7" location="'Cto Proveedores'!A1" display="'Cto Proveedores'!A1"/>
    <hyperlink ref="A8" location="'Cto Patrimonio'!A1" display="'Cto Patrimonio'!A1"/>
    <hyperlink ref="A9" location="'Emergentes'!A1" display="'Emergentes'!A1"/>
    <hyperlink ref="A10" location="'NODERFELASE'!A1" display="'NODERFELASE'!A1"/>
    <hyperlink ref="A11" location="'Tornado'!A1" display="'Tornado'!A1"/>
    <hyperlink ref="A12" location="'Spider'!A1" display="'Spider'!A1"/>
    <hyperlink ref="A13" location="'Report'!A1" display="'Report'!A1"/>
  </hyperlinks>
  <pageMargins left="0.75" right="0.75" top="1" bottom="1" header="0" footer="0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8" enableFormatConditionsCalculation="0">
    <tabColor indexed="13"/>
    <outlinePr summaryBelow="0"/>
  </sheetPr>
  <dimension ref="A1:B142"/>
  <sheetViews>
    <sheetView showGridLines="0" zoomScale="115" workbookViewId="0"/>
  </sheetViews>
  <sheetFormatPr baseColWidth="10" defaultColWidth="12.5703125" defaultRowHeight="16.5" outlineLevelRow="1"/>
  <cols>
    <col min="1" max="1" width="110" style="5" customWidth="1"/>
    <col min="2" max="16384" width="12.5703125" style="5"/>
  </cols>
  <sheetData>
    <row r="1" spans="1:1" collapsed="1">
      <c r="A1" s="4" t="s">
        <v>41</v>
      </c>
    </row>
    <row r="2" spans="1:1" hidden="1" outlineLevel="1">
      <c r="A2" s="6" t="s">
        <v>42</v>
      </c>
    </row>
    <row r="3" spans="1:1" hidden="1" outlineLevel="1">
      <c r="A3" s="6" t="s">
        <v>43</v>
      </c>
    </row>
    <row r="4" spans="1:1" collapsed="1">
      <c r="A4" s="7" t="s">
        <v>44</v>
      </c>
    </row>
    <row r="5" spans="1:1" hidden="1" outlineLevel="1">
      <c r="A5" s="6" t="s">
        <v>45</v>
      </c>
    </row>
    <row r="6" spans="1:1" hidden="1" outlineLevel="1">
      <c r="A6" s="6" t="s">
        <v>46</v>
      </c>
    </row>
    <row r="7" spans="1:1" hidden="1" outlineLevel="1">
      <c r="A7" s="6" t="s">
        <v>47</v>
      </c>
    </row>
    <row r="8" spans="1:1" hidden="1" outlineLevel="1">
      <c r="A8" s="6" t="s">
        <v>48</v>
      </c>
    </row>
    <row r="9" spans="1:1" hidden="1" outlineLevel="1">
      <c r="A9" s="6" t="s">
        <v>49</v>
      </c>
    </row>
    <row r="10" spans="1:1" hidden="1" outlineLevel="1">
      <c r="A10" s="6" t="s">
        <v>50</v>
      </c>
    </row>
    <row r="11" spans="1:1" hidden="1" outlineLevel="1">
      <c r="A11" s="6" t="s">
        <v>51</v>
      </c>
    </row>
    <row r="12" spans="1:1" hidden="1" outlineLevel="1">
      <c r="A12" s="6" t="s">
        <v>52</v>
      </c>
    </row>
    <row r="13" spans="1:1" hidden="1" outlineLevel="1">
      <c r="A13" s="6" t="s">
        <v>53</v>
      </c>
    </row>
    <row r="14" spans="1:1" hidden="1" outlineLevel="1">
      <c r="A14" s="6" t="s">
        <v>54</v>
      </c>
    </row>
    <row r="15" spans="1:1" hidden="1" outlineLevel="1">
      <c r="A15" s="6" t="s">
        <v>55</v>
      </c>
    </row>
    <row r="16" spans="1:1" hidden="1" outlineLevel="1">
      <c r="A16" s="6" t="s">
        <v>56</v>
      </c>
    </row>
    <row r="17" spans="1:1" hidden="1" outlineLevel="1">
      <c r="A17" s="6" t="s">
        <v>57</v>
      </c>
    </row>
    <row r="18" spans="1:1" hidden="1" outlineLevel="1">
      <c r="A18" s="6" t="s">
        <v>58</v>
      </c>
    </row>
    <row r="19" spans="1:1" collapsed="1">
      <c r="A19" s="7" t="s">
        <v>59</v>
      </c>
    </row>
    <row r="20" spans="1:1" collapsed="1">
      <c r="A20" s="7" t="s">
        <v>60</v>
      </c>
    </row>
    <row r="21" spans="1:1" hidden="1" outlineLevel="1">
      <c r="A21" s="6" t="s">
        <v>61</v>
      </c>
    </row>
    <row r="22" spans="1:1" s="9" customFormat="1" hidden="1" outlineLevel="1">
      <c r="A22" s="8" t="s">
        <v>62</v>
      </c>
    </row>
    <row r="23" spans="1:1" s="9" customFormat="1" hidden="1" outlineLevel="1">
      <c r="A23" s="8" t="s">
        <v>63</v>
      </c>
    </row>
    <row r="24" spans="1:1" s="9" customFormat="1" hidden="1" outlineLevel="1">
      <c r="A24" s="8" t="s">
        <v>64</v>
      </c>
    </row>
    <row r="25" spans="1:1" s="9" customFormat="1" hidden="1" outlineLevel="1">
      <c r="A25" s="6" t="s">
        <v>65</v>
      </c>
    </row>
    <row r="26" spans="1:1" s="9" customFormat="1" hidden="1" outlineLevel="1">
      <c r="A26" s="6" t="s">
        <v>66</v>
      </c>
    </row>
    <row r="27" spans="1:1" s="9" customFormat="1" hidden="1" outlineLevel="1">
      <c r="A27" s="6" t="s">
        <v>67</v>
      </c>
    </row>
    <row r="28" spans="1:1" collapsed="1">
      <c r="A28" s="7" t="s">
        <v>68</v>
      </c>
    </row>
    <row r="29" spans="1:1" hidden="1" outlineLevel="1">
      <c r="A29" s="6" t="s">
        <v>69</v>
      </c>
    </row>
    <row r="30" spans="1:1" hidden="1" outlineLevel="1">
      <c r="A30" s="6" t="s">
        <v>70</v>
      </c>
    </row>
    <row r="31" spans="1:1" hidden="1" outlineLevel="1">
      <c r="A31" s="6" t="s">
        <v>71</v>
      </c>
    </row>
    <row r="32" spans="1:1" collapsed="1">
      <c r="A32" s="7" t="s">
        <v>72</v>
      </c>
    </row>
    <row r="33" spans="1:2" hidden="1" outlineLevel="1">
      <c r="A33" s="4" t="s">
        <v>73</v>
      </c>
    </row>
    <row r="34" spans="1:2" collapsed="1">
      <c r="A34" s="43" t="s">
        <v>74</v>
      </c>
    </row>
    <row r="35" spans="1:2" hidden="1" outlineLevel="1">
      <c r="A35" s="10" t="s">
        <v>75</v>
      </c>
    </row>
    <row r="36" spans="1:2" hidden="1" outlineLevel="1">
      <c r="A36" s="4" t="s">
        <v>76</v>
      </c>
    </row>
    <row r="37" spans="1:2" hidden="1" outlineLevel="1">
      <c r="A37" s="10" t="s">
        <v>77</v>
      </c>
    </row>
    <row r="38" spans="1:2" hidden="1" outlineLevel="1">
      <c r="A38" s="7" t="s">
        <v>78</v>
      </c>
    </row>
    <row r="39" spans="1:2" hidden="1" outlineLevel="1">
      <c r="A39" s="7" t="s">
        <v>79</v>
      </c>
    </row>
    <row r="40" spans="1:2" hidden="1" outlineLevel="1">
      <c r="A40" s="7" t="s">
        <v>80</v>
      </c>
    </row>
    <row r="41" spans="1:2" hidden="1" outlineLevel="1">
      <c r="A41" s="7" t="s">
        <v>81</v>
      </c>
    </row>
    <row r="42" spans="1:2" hidden="1" outlineLevel="1">
      <c r="A42" s="7" t="s">
        <v>82</v>
      </c>
    </row>
    <row r="43" spans="1:2" hidden="1" outlineLevel="1">
      <c r="A43" s="11">
        <v>-1000000</v>
      </c>
      <c r="B43" s="4" t="s">
        <v>83</v>
      </c>
    </row>
    <row r="44" spans="1:2" hidden="1" outlineLevel="1">
      <c r="A44" s="6">
        <v>1.81</v>
      </c>
      <c r="B44" s="4" t="s">
        <v>84</v>
      </c>
    </row>
    <row r="45" spans="1:2" hidden="1" outlineLevel="1">
      <c r="A45" s="6">
        <v>2.99</v>
      </c>
      <c r="B45" s="4" t="s">
        <v>85</v>
      </c>
    </row>
    <row r="46" spans="1:2" hidden="1" outlineLevel="1">
      <c r="A46" s="11">
        <v>1000000</v>
      </c>
    </row>
    <row r="47" spans="1:2" collapsed="1">
      <c r="A47" s="7" t="s">
        <v>86</v>
      </c>
    </row>
    <row r="48" spans="1:2" hidden="1" outlineLevel="1">
      <c r="A48" s="6" t="s">
        <v>87</v>
      </c>
    </row>
    <row r="49" spans="1:1" collapsed="1">
      <c r="A49" s="7" t="s">
        <v>88</v>
      </c>
    </row>
    <row r="50" spans="1:1" s="9" customFormat="1" hidden="1" outlineLevel="1">
      <c r="A50" s="6" t="s">
        <v>89</v>
      </c>
    </row>
    <row r="51" spans="1:1" s="9" customFormat="1" hidden="1" outlineLevel="1">
      <c r="A51" s="6" t="s">
        <v>90</v>
      </c>
    </row>
    <row r="52" spans="1:1" s="9" customFormat="1" hidden="1" outlineLevel="1">
      <c r="A52" s="6" t="s">
        <v>91</v>
      </c>
    </row>
    <row r="53" spans="1:1" s="9" customFormat="1" hidden="1" outlineLevel="1">
      <c r="A53" s="6" t="s">
        <v>92</v>
      </c>
    </row>
    <row r="54" spans="1:1" s="9" customFormat="1" hidden="1" outlineLevel="1">
      <c r="A54" s="6" t="s">
        <v>93</v>
      </c>
    </row>
    <row r="55" spans="1:1" s="9" customFormat="1" hidden="1" outlineLevel="1">
      <c r="A55" s="6" t="s">
        <v>94</v>
      </c>
    </row>
    <row r="56" spans="1:1" s="9" customFormat="1" hidden="1" outlineLevel="1">
      <c r="A56" s="6" t="s">
        <v>95</v>
      </c>
    </row>
    <row r="57" spans="1:1" s="9" customFormat="1" hidden="1" outlineLevel="1">
      <c r="A57" s="6" t="s">
        <v>96</v>
      </c>
    </row>
    <row r="58" spans="1:1" s="9" customFormat="1" hidden="1" outlineLevel="1">
      <c r="A58" s="6" t="s">
        <v>97</v>
      </c>
    </row>
    <row r="59" spans="1:1" s="9" customFormat="1" hidden="1" outlineLevel="1">
      <c r="A59" s="6" t="s">
        <v>98</v>
      </c>
    </row>
    <row r="60" spans="1:1" s="9" customFormat="1" hidden="1" outlineLevel="1">
      <c r="A60" s="6" t="s">
        <v>99</v>
      </c>
    </row>
    <row r="61" spans="1:1" s="9" customFormat="1" hidden="1" outlineLevel="1">
      <c r="A61" s="6" t="s">
        <v>100</v>
      </c>
    </row>
    <row r="62" spans="1:1" s="9" customFormat="1" hidden="1" outlineLevel="1">
      <c r="A62" s="6" t="s">
        <v>101</v>
      </c>
    </row>
    <row r="63" spans="1:1" s="9" customFormat="1" hidden="1" outlineLevel="1">
      <c r="A63" s="6" t="s">
        <v>102</v>
      </c>
    </row>
    <row r="64" spans="1:1" s="9" customFormat="1" hidden="1" outlineLevel="1">
      <c r="A64" s="6" t="s">
        <v>103</v>
      </c>
    </row>
    <row r="65" spans="1:1" s="9" customFormat="1" hidden="1" outlineLevel="1">
      <c r="A65" s="6" t="s">
        <v>104</v>
      </c>
    </row>
    <row r="66" spans="1:1" s="9" customFormat="1" hidden="1" outlineLevel="1">
      <c r="A66" s="6" t="s">
        <v>105</v>
      </c>
    </row>
    <row r="67" spans="1:1" s="9" customFormat="1" hidden="1" outlineLevel="1">
      <c r="A67" s="6" t="s">
        <v>106</v>
      </c>
    </row>
    <row r="68" spans="1:1" s="9" customFormat="1" hidden="1" outlineLevel="1">
      <c r="A68" s="12" t="s">
        <v>107</v>
      </c>
    </row>
    <row r="69" spans="1:1" collapsed="1">
      <c r="A69" s="25" t="s">
        <v>108</v>
      </c>
    </row>
    <row r="70" spans="1:1" hidden="1" outlineLevel="1">
      <c r="A70" s="6" t="s">
        <v>109</v>
      </c>
    </row>
    <row r="71" spans="1:1" hidden="1" outlineLevel="1">
      <c r="A71" s="6" t="s">
        <v>110</v>
      </c>
    </row>
    <row r="72" spans="1:1" hidden="1" outlineLevel="1">
      <c r="A72" s="6" t="s">
        <v>111</v>
      </c>
    </row>
    <row r="73" spans="1:1" hidden="1" outlineLevel="1">
      <c r="A73" s="6" t="s">
        <v>112</v>
      </c>
    </row>
    <row r="74" spans="1:1" hidden="1" outlineLevel="1">
      <c r="A74" s="6" t="s">
        <v>113</v>
      </c>
    </row>
    <row r="75" spans="1:1" hidden="1" outlineLevel="1">
      <c r="A75" s="6" t="s">
        <v>114</v>
      </c>
    </row>
    <row r="76" spans="1:1" collapsed="1">
      <c r="A76" s="7" t="s">
        <v>115</v>
      </c>
    </row>
    <row r="77" spans="1:1" hidden="1" outlineLevel="1">
      <c r="A77" s="6" t="s">
        <v>116</v>
      </c>
    </row>
    <row r="78" spans="1:1" hidden="1" outlineLevel="1">
      <c r="A78" s="6" t="s">
        <v>117</v>
      </c>
    </row>
    <row r="79" spans="1:1" hidden="1" outlineLevel="1">
      <c r="A79" s="6" t="s">
        <v>118</v>
      </c>
    </row>
    <row r="80" spans="1:1" ht="18.75" hidden="1" outlineLevel="1">
      <c r="A80" s="6" t="s">
        <v>265</v>
      </c>
    </row>
    <row r="81" spans="1:1">
      <c r="A81" s="7" t="s">
        <v>119</v>
      </c>
    </row>
    <row r="82" spans="1:1" collapsed="1">
      <c r="A82" s="7" t="s">
        <v>120</v>
      </c>
    </row>
    <row r="83" spans="1:1" hidden="1" outlineLevel="1">
      <c r="A83" s="6" t="s">
        <v>121</v>
      </c>
    </row>
    <row r="84" spans="1:1" hidden="1" outlineLevel="1">
      <c r="A84" s="6" t="s">
        <v>122</v>
      </c>
    </row>
    <row r="85" spans="1:1" hidden="1" outlineLevel="1">
      <c r="A85" s="6" t="s">
        <v>123</v>
      </c>
    </row>
    <row r="86" spans="1:1" hidden="1" outlineLevel="1">
      <c r="A86" s="6" t="s">
        <v>124</v>
      </c>
    </row>
    <row r="87" spans="1:1" hidden="1" outlineLevel="1">
      <c r="A87" s="6" t="s">
        <v>125</v>
      </c>
    </row>
    <row r="88" spans="1:1" hidden="1" outlineLevel="1">
      <c r="A88" s="6" t="s">
        <v>126</v>
      </c>
    </row>
    <row r="89" spans="1:1" hidden="1" outlineLevel="1">
      <c r="A89" s="6" t="s">
        <v>127</v>
      </c>
    </row>
    <row r="90" spans="1:1" collapsed="1">
      <c r="A90" s="25" t="s">
        <v>128</v>
      </c>
    </row>
    <row r="91" spans="1:1" hidden="1" outlineLevel="1">
      <c r="A91" s="13" t="s">
        <v>129</v>
      </c>
    </row>
    <row r="92" spans="1:1" hidden="1" outlineLevel="1">
      <c r="A92" s="13" t="s">
        <v>130</v>
      </c>
    </row>
    <row r="93" spans="1:1" hidden="1" outlineLevel="1">
      <c r="A93" s="13" t="s">
        <v>131</v>
      </c>
    </row>
    <row r="94" spans="1:1" hidden="1" outlineLevel="1">
      <c r="A94" s="13" t="s">
        <v>132</v>
      </c>
    </row>
    <row r="95" spans="1:1" hidden="1" outlineLevel="1">
      <c r="A95" s="13" t="s">
        <v>133</v>
      </c>
    </row>
    <row r="96" spans="1:1" hidden="1" outlineLevel="1">
      <c r="A96" s="13" t="s">
        <v>134</v>
      </c>
    </row>
    <row r="97" spans="1:1" hidden="1" outlineLevel="1">
      <c r="A97" s="13" t="s">
        <v>135</v>
      </c>
    </row>
    <row r="98" spans="1:1" hidden="1" outlineLevel="1">
      <c r="A98" t="s">
        <v>136</v>
      </c>
    </row>
    <row r="99" spans="1:1" hidden="1" outlineLevel="1">
      <c r="A99" s="13" t="s">
        <v>137</v>
      </c>
    </row>
    <row r="100" spans="1:1" hidden="1" outlineLevel="1">
      <c r="A100" s="14" t="s">
        <v>138</v>
      </c>
    </row>
    <row r="101" spans="1:1" hidden="1" outlineLevel="1">
      <c r="A101" s="14" t="s">
        <v>139</v>
      </c>
    </row>
    <row r="102" spans="1:1" hidden="1" outlineLevel="1">
      <c r="A102" s="13" t="s">
        <v>140</v>
      </c>
    </row>
    <row r="103" spans="1:1" hidden="1" outlineLevel="1">
      <c r="A103" s="14" t="s">
        <v>141</v>
      </c>
    </row>
    <row r="104" spans="1:1" hidden="1" outlineLevel="1">
      <c r="A104" s="14" t="s">
        <v>142</v>
      </c>
    </row>
    <row r="105" spans="1:1" hidden="1" outlineLevel="1">
      <c r="A105" s="13" t="s">
        <v>143</v>
      </c>
    </row>
    <row r="106" spans="1:1" hidden="1" outlineLevel="1">
      <c r="A106" s="14" t="s">
        <v>144</v>
      </c>
    </row>
    <row r="107" spans="1:1" hidden="1" outlineLevel="1">
      <c r="A107" s="14" t="s">
        <v>145</v>
      </c>
    </row>
    <row r="108" spans="1:1" hidden="1" outlineLevel="1">
      <c r="A108" s="14" t="s">
        <v>146</v>
      </c>
    </row>
    <row r="109" spans="1:1" collapsed="1">
      <c r="A109" s="4" t="s">
        <v>147</v>
      </c>
    </row>
    <row r="110" spans="1:1" hidden="1" outlineLevel="1">
      <c r="A110" s="15" t="s">
        <v>148</v>
      </c>
    </row>
    <row r="111" spans="1:1" hidden="1" outlineLevel="1">
      <c r="A111" s="15" t="s">
        <v>149</v>
      </c>
    </row>
    <row r="112" spans="1:1" hidden="1" outlineLevel="1">
      <c r="A112" s="16" t="s">
        <v>150</v>
      </c>
    </row>
    <row r="113" spans="1:1" hidden="1" outlineLevel="1">
      <c r="A113" s="16" t="s">
        <v>151</v>
      </c>
    </row>
    <row r="114" spans="1:1" hidden="1" outlineLevel="1">
      <c r="A114" s="16" t="s">
        <v>152</v>
      </c>
    </row>
    <row r="115" spans="1:1" hidden="1" outlineLevel="1">
      <c r="A115" s="16" t="s">
        <v>153</v>
      </c>
    </row>
    <row r="116" spans="1:1" hidden="1" outlineLevel="1">
      <c r="A116" s="16" t="s">
        <v>154</v>
      </c>
    </row>
    <row r="117" spans="1:1" hidden="1" outlineLevel="1">
      <c r="A117" s="15" t="s">
        <v>155</v>
      </c>
    </row>
    <row r="118" spans="1:1" hidden="1" outlineLevel="1">
      <c r="A118" s="15" t="s">
        <v>156</v>
      </c>
    </row>
    <row r="119" spans="1:1" hidden="1" outlineLevel="1">
      <c r="A119" s="4" t="s">
        <v>157</v>
      </c>
    </row>
    <row r="120" spans="1:1" hidden="1" outlineLevel="1">
      <c r="A120" s="16" t="s">
        <v>158</v>
      </c>
    </row>
    <row r="121" spans="1:1" hidden="1" outlineLevel="1">
      <c r="A121" s="16" t="s">
        <v>159</v>
      </c>
    </row>
    <row r="122" spans="1:1" hidden="1" outlineLevel="1">
      <c r="A122" s="16" t="s">
        <v>160</v>
      </c>
    </row>
    <row r="123" spans="1:1" collapsed="1">
      <c r="A123" s="4" t="s">
        <v>161</v>
      </c>
    </row>
    <row r="124" spans="1:1" s="9" customFormat="1" hidden="1" outlineLevel="1">
      <c r="A124" s="16" t="s">
        <v>162</v>
      </c>
    </row>
    <row r="125" spans="1:1" s="9" customFormat="1" hidden="1" outlineLevel="1">
      <c r="A125" s="16" t="s">
        <v>163</v>
      </c>
    </row>
    <row r="126" spans="1:1" s="9" customFormat="1" hidden="1" outlineLevel="1">
      <c r="A126" s="16" t="s">
        <v>164</v>
      </c>
    </row>
    <row r="127" spans="1:1">
      <c r="A127" s="4"/>
    </row>
    <row r="128" spans="1:1">
      <c r="A128" s="43" t="s">
        <v>348</v>
      </c>
    </row>
    <row r="129" spans="1:1">
      <c r="A129" s="4"/>
    </row>
    <row r="130" spans="1:1">
      <c r="A130" s="4"/>
    </row>
    <row r="131" spans="1:1">
      <c r="A131" s="45" t="s">
        <v>349</v>
      </c>
    </row>
    <row r="132" spans="1:1">
      <c r="A132" s="4"/>
    </row>
    <row r="133" spans="1:1">
      <c r="A133" s="4"/>
    </row>
    <row r="134" spans="1:1">
      <c r="A134" s="29" t="s">
        <v>306</v>
      </c>
    </row>
    <row r="135" spans="1:1">
      <c r="A135" s="28" t="s">
        <v>307</v>
      </c>
    </row>
    <row r="136" spans="1:1">
      <c r="A136" s="29" t="s">
        <v>308</v>
      </c>
    </row>
    <row r="137" spans="1:1">
      <c r="A137" s="29" t="s">
        <v>309</v>
      </c>
    </row>
    <row r="138" spans="1:1">
      <c r="A138" s="29" t="s">
        <v>310</v>
      </c>
    </row>
    <row r="139" spans="1:1">
      <c r="A139" s="4"/>
    </row>
    <row r="140" spans="1:1">
      <c r="A140" s="43" t="s">
        <v>425</v>
      </c>
    </row>
    <row r="141" spans="1:1">
      <c r="A141" s="4"/>
    </row>
    <row r="142" spans="1:1">
      <c r="A142" s="43" t="s">
        <v>426</v>
      </c>
    </row>
  </sheetData>
  <phoneticPr fontId="5" type="noConversion"/>
  <hyperlinks>
    <hyperlink ref="A34" r:id="rId1"/>
    <hyperlink ref="A128" r:id="rId2"/>
    <hyperlink ref="A140" r:id="rId3"/>
    <hyperlink ref="A142" r:id="rId4"/>
    <hyperlink ref="A90" location="Modelo!A238" display="Análisis de sensibilidad con 2 variables independientes y 1 var. Dependiente"/>
    <hyperlink ref="A69" location="Modelo!A216" display="Sensibilidad con 1 variable independiente y n- variables dependientes"/>
  </hyperlinks>
  <pageMargins left="0.75" right="0.75" top="1" bottom="1" header="0" footer="0"/>
  <pageSetup paperSize="9" orientation="portrait" r:id="rId5"/>
  <headerFooter alignWithMargins="0"/>
  <drawing r:id="rId6"/>
  <legacyDrawing r:id="rId7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9" enableFormatConditionsCalculation="0">
    <tabColor indexed="10"/>
    <outlinePr summaryBelow="0"/>
  </sheetPr>
  <dimension ref="A1:I561"/>
  <sheetViews>
    <sheetView showGridLines="0" zoomScale="130" workbookViewId="0"/>
  </sheetViews>
  <sheetFormatPr baseColWidth="10" defaultRowHeight="12.75" outlineLevelRow="1"/>
  <cols>
    <col min="1" max="1" width="118" customWidth="1"/>
  </cols>
  <sheetData>
    <row r="1" spans="1:9">
      <c r="A1" s="17" t="s">
        <v>165</v>
      </c>
      <c r="B1" s="17"/>
      <c r="C1" s="17"/>
      <c r="D1" s="17"/>
      <c r="E1" s="17"/>
      <c r="F1" s="17"/>
      <c r="G1" s="17"/>
      <c r="H1" s="17"/>
      <c r="I1" s="17"/>
    </row>
    <row r="2" spans="1:9">
      <c r="A2" s="17"/>
      <c r="B2" s="17"/>
      <c r="C2" s="17"/>
      <c r="D2" s="17"/>
      <c r="E2" s="17"/>
      <c r="F2" s="17"/>
      <c r="G2" s="17"/>
      <c r="H2" s="17"/>
      <c r="I2" s="17"/>
    </row>
    <row r="3" spans="1:9" collapsed="1">
      <c r="A3" s="17" t="s">
        <v>166</v>
      </c>
      <c r="B3" s="17"/>
      <c r="C3" s="17"/>
      <c r="D3" s="17"/>
      <c r="E3" s="17"/>
      <c r="F3" s="17"/>
      <c r="G3" s="17"/>
      <c r="H3" s="17"/>
      <c r="I3" s="17"/>
    </row>
    <row r="4" spans="1:9" hidden="1" outlineLevel="1">
      <c r="A4" s="18" t="s">
        <v>167</v>
      </c>
      <c r="B4" s="17"/>
      <c r="C4" s="17"/>
      <c r="D4" s="17"/>
      <c r="E4" s="17"/>
      <c r="F4" s="17"/>
      <c r="G4" s="17"/>
      <c r="H4" s="17"/>
      <c r="I4" s="17"/>
    </row>
    <row r="5" spans="1:9" hidden="1" outlineLevel="1">
      <c r="A5" s="18" t="s">
        <v>168</v>
      </c>
      <c r="B5" s="17"/>
      <c r="C5" s="17"/>
      <c r="D5" s="17"/>
      <c r="E5" s="17"/>
      <c r="F5" s="17"/>
      <c r="G5" s="17"/>
      <c r="H5" s="17"/>
      <c r="I5" s="17"/>
    </row>
    <row r="6" spans="1:9" hidden="1" outlineLevel="1">
      <c r="A6" s="18" t="s">
        <v>169</v>
      </c>
      <c r="B6" s="17"/>
      <c r="C6" s="17"/>
      <c r="D6" s="17"/>
      <c r="E6" s="17"/>
      <c r="F6" s="17"/>
      <c r="G6" s="17"/>
      <c r="H6" s="17"/>
      <c r="I6" s="17"/>
    </row>
    <row r="7" spans="1:9" hidden="1" outlineLevel="1">
      <c r="A7" s="18" t="s">
        <v>170</v>
      </c>
      <c r="B7" s="17"/>
      <c r="C7" s="17"/>
      <c r="D7" s="17"/>
      <c r="E7" s="17"/>
      <c r="F7" s="17"/>
      <c r="G7" s="17"/>
      <c r="H7" s="17"/>
      <c r="I7" s="17"/>
    </row>
    <row r="8" spans="1:9" collapsed="1">
      <c r="A8" s="17" t="s">
        <v>171</v>
      </c>
      <c r="B8" s="17"/>
      <c r="C8" s="17"/>
      <c r="D8" s="17"/>
      <c r="E8" s="17"/>
      <c r="F8" s="17"/>
      <c r="G8" s="17"/>
      <c r="H8" s="17"/>
      <c r="I8" s="17"/>
    </row>
    <row r="9" spans="1:9" hidden="1" outlineLevel="1">
      <c r="A9" s="18" t="s">
        <v>172</v>
      </c>
      <c r="B9" s="17"/>
      <c r="C9" s="17"/>
      <c r="D9" s="17"/>
      <c r="E9" s="17"/>
      <c r="F9" s="17"/>
      <c r="G9" s="17"/>
      <c r="H9" s="17"/>
      <c r="I9" s="17"/>
    </row>
    <row r="10" spans="1:9" hidden="1" outlineLevel="1">
      <c r="A10" s="19" t="s">
        <v>173</v>
      </c>
      <c r="B10" s="17"/>
      <c r="C10" s="17"/>
      <c r="D10" s="17"/>
      <c r="E10" s="17"/>
      <c r="F10" s="17"/>
      <c r="G10" s="17"/>
      <c r="H10" s="17"/>
      <c r="I10" s="17"/>
    </row>
    <row r="11" spans="1:9" hidden="1" outlineLevel="1">
      <c r="A11" s="19" t="s">
        <v>174</v>
      </c>
      <c r="B11" s="17"/>
      <c r="C11" s="17"/>
      <c r="D11" s="17"/>
      <c r="E11" s="17"/>
      <c r="F11" s="17"/>
      <c r="G11" s="17"/>
      <c r="H11" s="17"/>
      <c r="I11" s="17"/>
    </row>
    <row r="12" spans="1:9" hidden="1" outlineLevel="1">
      <c r="A12" s="19" t="s">
        <v>175</v>
      </c>
      <c r="B12" s="17"/>
      <c r="C12" s="17"/>
      <c r="D12" s="17"/>
      <c r="E12" s="17"/>
      <c r="F12" s="17"/>
      <c r="G12" s="17"/>
      <c r="H12" s="17"/>
      <c r="I12" s="17"/>
    </row>
    <row r="13" spans="1:9" hidden="1" outlineLevel="1">
      <c r="A13" s="19" t="s">
        <v>176</v>
      </c>
      <c r="B13" s="17"/>
      <c r="C13" s="17"/>
      <c r="D13" s="17"/>
      <c r="E13" s="17"/>
      <c r="F13" s="17"/>
      <c r="G13" s="17"/>
      <c r="H13" s="17"/>
      <c r="I13" s="17"/>
    </row>
    <row r="14" spans="1:9" hidden="1" outlineLevel="1">
      <c r="A14" s="19" t="s">
        <v>177</v>
      </c>
      <c r="B14" s="17"/>
      <c r="C14" s="17"/>
      <c r="D14" s="17"/>
      <c r="E14" s="17"/>
      <c r="F14" s="17"/>
      <c r="G14" s="17"/>
      <c r="H14" s="17"/>
      <c r="I14" s="17"/>
    </row>
    <row r="15" spans="1:9" hidden="1" outlineLevel="1">
      <c r="A15" s="19" t="s">
        <v>346</v>
      </c>
      <c r="B15" s="17"/>
      <c r="C15" s="17"/>
      <c r="D15" s="17"/>
      <c r="E15" s="17"/>
      <c r="F15" s="17"/>
      <c r="G15" s="17"/>
      <c r="H15" s="17"/>
      <c r="I15" s="17"/>
    </row>
    <row r="16" spans="1:9" hidden="1" outlineLevel="1">
      <c r="A16" s="18" t="s">
        <v>178</v>
      </c>
      <c r="B16" s="17"/>
      <c r="C16" s="17"/>
      <c r="D16" s="17"/>
      <c r="E16" s="17"/>
      <c r="F16" s="17"/>
      <c r="G16" s="17"/>
      <c r="H16" s="17"/>
      <c r="I16" s="17"/>
    </row>
    <row r="17" spans="1:9" hidden="1" outlineLevel="1">
      <c r="A17" s="18" t="s">
        <v>179</v>
      </c>
      <c r="B17" s="17"/>
      <c r="C17" s="17"/>
      <c r="D17" s="17"/>
      <c r="E17" s="17"/>
      <c r="F17" s="17"/>
      <c r="G17" s="17"/>
      <c r="H17" s="17"/>
      <c r="I17" s="17"/>
    </row>
    <row r="18" spans="1:9" collapsed="1">
      <c r="A18" s="17" t="s">
        <v>180</v>
      </c>
      <c r="B18" s="17"/>
      <c r="C18" s="17"/>
      <c r="D18" s="17"/>
      <c r="E18" s="17"/>
      <c r="F18" s="17"/>
      <c r="G18" s="17"/>
      <c r="H18" s="17"/>
      <c r="I18" s="17"/>
    </row>
    <row r="19" spans="1:9" hidden="1" outlineLevel="1">
      <c r="A19" s="20" t="s">
        <v>181</v>
      </c>
      <c r="B19" s="17"/>
      <c r="C19" s="17"/>
      <c r="D19" s="17"/>
      <c r="E19" s="17"/>
      <c r="F19" s="17"/>
      <c r="G19" s="17"/>
      <c r="H19" s="17"/>
      <c r="I19" s="17"/>
    </row>
    <row r="20" spans="1:9" hidden="1" outlineLevel="1">
      <c r="A20" s="20" t="s">
        <v>182</v>
      </c>
      <c r="B20" s="17"/>
      <c r="C20" s="17"/>
      <c r="D20" s="17"/>
      <c r="E20" s="17"/>
      <c r="F20" s="17"/>
      <c r="G20" s="17"/>
      <c r="H20" s="17"/>
      <c r="I20" s="17"/>
    </row>
    <row r="21" spans="1:9" hidden="1" outlineLevel="1">
      <c r="A21" s="18" t="s">
        <v>183</v>
      </c>
      <c r="B21" s="17"/>
      <c r="C21" s="17"/>
      <c r="D21" s="17"/>
      <c r="E21" s="17"/>
      <c r="F21" s="17"/>
      <c r="G21" s="17"/>
      <c r="H21" s="17"/>
      <c r="I21" s="17"/>
    </row>
    <row r="22" spans="1:9" collapsed="1">
      <c r="A22" s="17" t="s">
        <v>184</v>
      </c>
      <c r="B22" s="17"/>
      <c r="C22" s="17"/>
      <c r="D22" s="17"/>
      <c r="E22" s="17"/>
      <c r="F22" s="17"/>
      <c r="G22" s="17"/>
      <c r="H22" s="17"/>
      <c r="I22" s="17"/>
    </row>
    <row r="23" spans="1:9">
      <c r="A23" s="17" t="s">
        <v>185</v>
      </c>
      <c r="B23" s="17"/>
      <c r="C23" s="17"/>
      <c r="D23" s="17"/>
      <c r="E23" s="17"/>
      <c r="F23" s="17"/>
      <c r="G23" s="17"/>
      <c r="H23" s="17"/>
      <c r="I23" s="17"/>
    </row>
    <row r="24" spans="1:9" collapsed="1">
      <c r="A24" s="17" t="s">
        <v>186</v>
      </c>
      <c r="B24" s="17"/>
      <c r="C24" s="17"/>
      <c r="D24" s="17"/>
      <c r="E24" s="17"/>
      <c r="F24" s="17"/>
      <c r="G24" s="17"/>
      <c r="H24" s="17"/>
      <c r="I24" s="17"/>
    </row>
    <row r="25" spans="1:9" hidden="1" outlineLevel="1">
      <c r="A25" s="18" t="s">
        <v>187</v>
      </c>
      <c r="B25" s="17"/>
      <c r="C25" s="17"/>
      <c r="D25" s="17"/>
      <c r="E25" s="17"/>
      <c r="F25" s="17"/>
      <c r="G25" s="17"/>
      <c r="H25" s="17"/>
      <c r="I25" s="17"/>
    </row>
    <row r="26" spans="1:9" hidden="1" outlineLevel="1">
      <c r="A26" s="18" t="s">
        <v>188</v>
      </c>
      <c r="B26" s="17"/>
      <c r="C26" s="17"/>
      <c r="D26" s="17"/>
      <c r="E26" s="17"/>
      <c r="F26" s="17"/>
      <c r="G26" s="17"/>
      <c r="H26" s="17"/>
      <c r="I26" s="17"/>
    </row>
    <row r="27" spans="1:9" hidden="1" outlineLevel="1">
      <c r="A27" s="18" t="s">
        <v>189</v>
      </c>
      <c r="B27" s="17"/>
      <c r="C27" s="17"/>
      <c r="D27" s="17"/>
      <c r="E27" s="17"/>
      <c r="F27" s="17"/>
      <c r="G27" s="17"/>
      <c r="H27" s="17"/>
      <c r="I27" s="17"/>
    </row>
    <row r="28" spans="1:9" hidden="1" outlineLevel="1">
      <c r="A28" s="18" t="s">
        <v>190</v>
      </c>
      <c r="B28" s="17"/>
      <c r="C28" s="17"/>
      <c r="D28" s="17"/>
      <c r="E28" s="17"/>
      <c r="F28" s="17"/>
      <c r="G28" s="17"/>
      <c r="H28" s="17"/>
      <c r="I28" s="17"/>
    </row>
    <row r="29" spans="1:9" hidden="1" outlineLevel="1">
      <c r="A29" s="18" t="s">
        <v>191</v>
      </c>
      <c r="B29" s="17"/>
      <c r="C29" s="17"/>
      <c r="D29" s="17"/>
      <c r="E29" s="17"/>
      <c r="F29" s="17"/>
      <c r="G29" s="17"/>
      <c r="H29" s="17"/>
      <c r="I29" s="17"/>
    </row>
    <row r="30" spans="1:9" collapsed="1">
      <c r="A30" s="17" t="s">
        <v>192</v>
      </c>
      <c r="B30" s="17"/>
      <c r="C30" s="17"/>
      <c r="D30" s="17"/>
      <c r="E30" s="17"/>
      <c r="F30" s="17"/>
      <c r="G30" s="17"/>
      <c r="H30" s="17"/>
      <c r="I30" s="17"/>
    </row>
    <row r="31" spans="1:9" collapsed="1">
      <c r="A31" s="17" t="s">
        <v>193</v>
      </c>
      <c r="B31" s="17"/>
      <c r="C31" s="17"/>
      <c r="D31" s="17"/>
      <c r="E31" s="17"/>
      <c r="F31" s="17"/>
      <c r="G31" s="17"/>
      <c r="H31" s="17"/>
      <c r="I31" s="17"/>
    </row>
    <row r="32" spans="1:9" hidden="1" outlineLevel="1">
      <c r="A32" s="18" t="s">
        <v>194</v>
      </c>
      <c r="B32" s="17"/>
      <c r="C32" s="17"/>
      <c r="D32" s="17"/>
      <c r="E32" s="17"/>
      <c r="F32" s="17"/>
      <c r="G32" s="17"/>
      <c r="H32" s="17"/>
      <c r="I32" s="17"/>
    </row>
    <row r="33" spans="1:9" hidden="1" outlineLevel="1">
      <c r="A33" s="18" t="s">
        <v>195</v>
      </c>
      <c r="B33" s="17"/>
      <c r="C33" s="17"/>
      <c r="D33" s="17"/>
      <c r="E33" s="17"/>
      <c r="F33" s="17"/>
      <c r="G33" s="17"/>
      <c r="H33" s="17"/>
      <c r="I33" s="17"/>
    </row>
    <row r="34" spans="1:9" hidden="1" outlineLevel="1">
      <c r="A34" s="18" t="s">
        <v>196</v>
      </c>
      <c r="B34" s="17"/>
      <c r="C34" s="17"/>
      <c r="D34" s="17"/>
      <c r="E34" s="17"/>
      <c r="F34" s="17"/>
      <c r="G34" s="17"/>
      <c r="H34" s="17"/>
      <c r="I34" s="17"/>
    </row>
    <row r="35" spans="1:9" hidden="1" outlineLevel="1">
      <c r="A35" s="18" t="s">
        <v>197</v>
      </c>
      <c r="B35" s="17"/>
      <c r="C35" s="17"/>
      <c r="D35" s="17"/>
      <c r="E35" s="17"/>
      <c r="F35" s="17"/>
      <c r="G35" s="17"/>
      <c r="H35" s="17"/>
      <c r="I35" s="17"/>
    </row>
    <row r="36" spans="1:9" hidden="1" outlineLevel="1">
      <c r="A36" s="18" t="s">
        <v>198</v>
      </c>
      <c r="B36" s="17"/>
      <c r="C36" s="17"/>
      <c r="D36" s="17"/>
      <c r="E36" s="17"/>
      <c r="F36" s="17"/>
      <c r="G36" s="17"/>
      <c r="H36" s="17"/>
      <c r="I36" s="17"/>
    </row>
    <row r="37" spans="1:9" collapsed="1">
      <c r="A37" s="17" t="s">
        <v>199</v>
      </c>
      <c r="B37" s="17"/>
      <c r="C37" s="17"/>
      <c r="D37" s="17"/>
      <c r="E37" s="17"/>
      <c r="F37" s="17"/>
      <c r="G37" s="17"/>
      <c r="H37" s="17"/>
      <c r="I37" s="17"/>
    </row>
    <row r="38" spans="1:9" hidden="1" outlineLevel="1">
      <c r="A38" s="18" t="s">
        <v>200</v>
      </c>
      <c r="B38" s="17"/>
      <c r="C38" s="17"/>
      <c r="D38" s="17"/>
      <c r="E38" s="17"/>
      <c r="F38" s="17"/>
      <c r="G38" s="17"/>
      <c r="H38" s="17"/>
      <c r="I38" s="17"/>
    </row>
    <row r="39" spans="1:9" collapsed="1">
      <c r="A39" s="17" t="s">
        <v>201</v>
      </c>
      <c r="B39" s="17"/>
      <c r="C39" s="17"/>
      <c r="D39" s="17"/>
      <c r="E39" s="17"/>
      <c r="F39" s="17"/>
      <c r="G39" s="17"/>
      <c r="H39" s="17"/>
      <c r="I39" s="17"/>
    </row>
    <row r="40" spans="1:9" hidden="1" outlineLevel="1">
      <c r="A40" s="18" t="s">
        <v>202</v>
      </c>
      <c r="B40" s="17"/>
      <c r="C40" s="17"/>
      <c r="D40" s="17"/>
      <c r="E40" s="17"/>
      <c r="F40" s="17"/>
      <c r="G40" s="17"/>
      <c r="H40" s="17"/>
      <c r="I40" s="17"/>
    </row>
    <row r="41" spans="1:9" hidden="1" outlineLevel="1">
      <c r="A41" s="21" t="s">
        <v>203</v>
      </c>
      <c r="B41" s="17"/>
      <c r="C41" s="17"/>
      <c r="D41" s="17"/>
      <c r="E41" s="17"/>
      <c r="F41" s="17"/>
      <c r="G41" s="17"/>
      <c r="H41" s="17"/>
      <c r="I41" s="17"/>
    </row>
    <row r="42" spans="1:9" hidden="1" outlineLevel="1">
      <c r="A42" s="22" t="s">
        <v>204</v>
      </c>
      <c r="B42" s="17"/>
      <c r="C42" s="17"/>
      <c r="D42" s="17"/>
      <c r="E42" s="17"/>
      <c r="F42" s="17"/>
      <c r="G42" s="17"/>
      <c r="H42" s="17"/>
      <c r="I42" s="17"/>
    </row>
    <row r="43" spans="1:9" hidden="1" outlineLevel="1">
      <c r="A43" s="22" t="s">
        <v>205</v>
      </c>
      <c r="B43" s="17"/>
      <c r="C43" s="17"/>
      <c r="D43" s="17"/>
      <c r="E43" s="17"/>
      <c r="F43" s="17"/>
      <c r="G43" s="17"/>
      <c r="H43" s="17"/>
      <c r="I43" s="17"/>
    </row>
    <row r="44" spans="1:9" hidden="1" outlineLevel="1">
      <c r="A44" s="21" t="s">
        <v>206</v>
      </c>
      <c r="B44" s="17"/>
      <c r="C44" s="17"/>
      <c r="D44" s="17"/>
      <c r="E44" s="17"/>
      <c r="F44" s="17"/>
      <c r="G44" s="17"/>
      <c r="H44" s="17"/>
      <c r="I44" s="17"/>
    </row>
    <row r="45" spans="1:9" hidden="1" outlineLevel="1">
      <c r="A45" s="22" t="s">
        <v>207</v>
      </c>
      <c r="B45" s="17"/>
      <c r="C45" s="17"/>
      <c r="D45" s="17"/>
      <c r="E45" s="17"/>
      <c r="F45" s="17"/>
      <c r="G45" s="17"/>
      <c r="H45" s="17"/>
      <c r="I45" s="17"/>
    </row>
    <row r="46" spans="1:9" hidden="1" outlineLevel="1">
      <c r="A46" s="18" t="s">
        <v>208</v>
      </c>
      <c r="B46" s="17"/>
      <c r="C46" s="17"/>
      <c r="D46" s="17"/>
      <c r="E46" s="17"/>
      <c r="F46" s="17"/>
      <c r="G46" s="17"/>
      <c r="H46" s="17"/>
      <c r="I46" s="17"/>
    </row>
    <row r="47" spans="1:9" hidden="1" outlineLevel="1">
      <c r="A47" s="21" t="s">
        <v>209</v>
      </c>
      <c r="B47" s="17"/>
      <c r="C47" s="17"/>
      <c r="D47" s="17"/>
      <c r="E47" s="17"/>
      <c r="F47" s="17"/>
      <c r="G47" s="17"/>
      <c r="H47" s="17"/>
      <c r="I47" s="17"/>
    </row>
    <row r="48" spans="1:9" hidden="1" outlineLevel="1">
      <c r="A48" s="21" t="s">
        <v>210</v>
      </c>
      <c r="B48" s="17"/>
      <c r="C48" s="17"/>
      <c r="D48" s="17"/>
      <c r="E48" s="17"/>
      <c r="F48" s="17"/>
      <c r="G48" s="17"/>
      <c r="H48" s="17"/>
      <c r="I48" s="17"/>
    </row>
    <row r="49" spans="1:9" hidden="1" outlineLevel="1">
      <c r="A49" s="21" t="s">
        <v>211</v>
      </c>
      <c r="B49" s="17"/>
      <c r="C49" s="17"/>
      <c r="D49" s="17"/>
      <c r="E49" s="17"/>
      <c r="F49" s="17"/>
      <c r="G49" s="17"/>
      <c r="H49" s="17"/>
      <c r="I49" s="17"/>
    </row>
    <row r="50" spans="1:9" hidden="1" outlineLevel="1">
      <c r="A50" s="18" t="s">
        <v>212</v>
      </c>
      <c r="B50" s="17"/>
      <c r="C50" s="17"/>
      <c r="D50" s="17"/>
      <c r="E50" s="17"/>
      <c r="F50" s="17"/>
      <c r="G50" s="17"/>
      <c r="H50" s="17"/>
      <c r="I50" s="17"/>
    </row>
    <row r="51" spans="1:9" hidden="1" outlineLevel="1">
      <c r="A51" s="21" t="s">
        <v>213</v>
      </c>
      <c r="B51" s="17"/>
      <c r="C51" s="17"/>
      <c r="D51" s="17"/>
      <c r="E51" s="17"/>
      <c r="F51" s="17"/>
      <c r="G51" s="17"/>
      <c r="H51" s="17"/>
      <c r="I51" s="17"/>
    </row>
    <row r="52" spans="1:9" hidden="1" outlineLevel="1">
      <c r="A52" s="21" t="s">
        <v>214</v>
      </c>
      <c r="B52" s="17"/>
      <c r="C52" s="17"/>
      <c r="D52" s="17"/>
      <c r="E52" s="17"/>
      <c r="F52" s="17"/>
      <c r="G52" s="17"/>
      <c r="H52" s="17"/>
      <c r="I52" s="17"/>
    </row>
    <row r="53" spans="1:9" hidden="1" outlineLevel="1">
      <c r="A53" s="22" t="s">
        <v>215</v>
      </c>
      <c r="B53" s="17"/>
      <c r="C53" s="17"/>
      <c r="D53" s="17"/>
      <c r="E53" s="17"/>
      <c r="F53" s="17"/>
      <c r="G53" s="17"/>
      <c r="H53" s="17"/>
      <c r="I53" s="17"/>
    </row>
    <row r="54" spans="1:9" hidden="1" outlineLevel="1">
      <c r="A54" s="21" t="s">
        <v>216</v>
      </c>
      <c r="B54" s="17"/>
      <c r="C54" s="17"/>
      <c r="D54" s="17"/>
      <c r="E54" s="17"/>
      <c r="F54" s="17"/>
      <c r="G54" s="17"/>
      <c r="H54" s="17"/>
      <c r="I54" s="17"/>
    </row>
    <row r="55" spans="1:9" hidden="1" outlineLevel="1">
      <c r="A55" s="18" t="s">
        <v>217</v>
      </c>
      <c r="B55" s="17"/>
      <c r="C55" s="17"/>
      <c r="D55" s="17"/>
      <c r="E55" s="17"/>
      <c r="F55" s="17"/>
      <c r="G55" s="17"/>
      <c r="H55" s="17"/>
      <c r="I55" s="17"/>
    </row>
    <row r="56" spans="1:9" collapsed="1">
      <c r="A56" s="17" t="s">
        <v>218</v>
      </c>
      <c r="B56" s="17"/>
      <c r="C56" s="17"/>
      <c r="D56" s="17"/>
      <c r="E56" s="17"/>
      <c r="F56" s="17"/>
      <c r="G56" s="17"/>
      <c r="H56" s="17"/>
      <c r="I56" s="17"/>
    </row>
    <row r="57" spans="1:9" hidden="1" outlineLevel="1">
      <c r="A57" s="23" t="s">
        <v>219</v>
      </c>
      <c r="B57" s="17"/>
      <c r="C57" s="17"/>
      <c r="D57" s="17"/>
      <c r="E57" s="17"/>
      <c r="F57" s="17"/>
      <c r="G57" s="17"/>
      <c r="H57" s="17"/>
      <c r="I57" s="17"/>
    </row>
    <row r="58" spans="1:9" hidden="1" outlineLevel="1">
      <c r="A58" s="24" t="s">
        <v>220</v>
      </c>
      <c r="B58" s="17"/>
      <c r="C58" s="17"/>
      <c r="D58" s="17"/>
      <c r="E58" s="17"/>
      <c r="F58" s="17"/>
      <c r="G58" s="17"/>
      <c r="H58" s="17"/>
      <c r="I58" s="17"/>
    </row>
    <row r="59" spans="1:9" hidden="1" outlineLevel="1">
      <c r="A59" s="24" t="s">
        <v>221</v>
      </c>
      <c r="B59" s="17"/>
      <c r="C59" s="17"/>
      <c r="D59" s="17"/>
      <c r="E59" s="17"/>
      <c r="F59" s="17"/>
      <c r="G59" s="17"/>
      <c r="H59" s="17"/>
      <c r="I59" s="17"/>
    </row>
    <row r="60" spans="1:9" hidden="1" outlineLevel="1">
      <c r="A60" s="23" t="s">
        <v>222</v>
      </c>
      <c r="B60" s="17"/>
      <c r="C60" s="17"/>
      <c r="D60" s="17"/>
      <c r="E60" s="17"/>
      <c r="F60" s="17"/>
      <c r="G60" s="17"/>
      <c r="H60" s="17"/>
      <c r="I60" s="17"/>
    </row>
    <row r="61" spans="1:9" hidden="1" outlineLevel="1">
      <c r="A61" s="23" t="s">
        <v>223</v>
      </c>
      <c r="B61" s="17"/>
      <c r="C61" s="17"/>
      <c r="D61" s="17"/>
      <c r="E61" s="17"/>
      <c r="F61" s="17"/>
      <c r="G61" s="17"/>
      <c r="H61" s="17"/>
      <c r="I61" s="17"/>
    </row>
    <row r="62" spans="1:9" hidden="1" outlineLevel="1">
      <c r="A62" s="24" t="s">
        <v>224</v>
      </c>
      <c r="B62" s="17"/>
      <c r="C62" s="17"/>
      <c r="D62" s="17"/>
      <c r="E62" s="17"/>
      <c r="F62" s="17"/>
      <c r="G62" s="17"/>
      <c r="H62" s="17"/>
      <c r="I62" s="17"/>
    </row>
    <row r="63" spans="1:9" hidden="1" outlineLevel="1">
      <c r="A63" s="24" t="s">
        <v>225</v>
      </c>
      <c r="B63" s="17"/>
      <c r="C63" s="17"/>
      <c r="D63" s="17"/>
      <c r="E63" s="17"/>
      <c r="F63" s="17"/>
      <c r="G63" s="17"/>
      <c r="H63" s="17"/>
      <c r="I63" s="17"/>
    </row>
    <row r="64" spans="1:9" collapsed="1">
      <c r="A64" s="17" t="s">
        <v>226</v>
      </c>
      <c r="B64" s="17"/>
      <c r="C64" s="17"/>
      <c r="D64" s="17"/>
      <c r="E64" s="17"/>
      <c r="F64" s="17"/>
      <c r="G64" s="17"/>
      <c r="H64" s="17"/>
      <c r="I64" s="17"/>
    </row>
    <row r="65" spans="1:9" hidden="1" outlineLevel="1">
      <c r="A65" s="23" t="s">
        <v>227</v>
      </c>
      <c r="B65" s="17"/>
      <c r="C65" s="17"/>
      <c r="D65" s="17"/>
      <c r="E65" s="17"/>
      <c r="F65" s="17"/>
      <c r="G65" s="17"/>
      <c r="H65" s="17"/>
      <c r="I65" s="17"/>
    </row>
    <row r="66" spans="1:9" hidden="1" outlineLevel="1">
      <c r="A66" s="23" t="s">
        <v>228</v>
      </c>
      <c r="B66" s="17"/>
      <c r="C66" s="17"/>
      <c r="D66" s="17"/>
      <c r="E66" s="17"/>
      <c r="F66" s="17"/>
      <c r="G66" s="17"/>
      <c r="H66" s="17"/>
      <c r="I66" s="17"/>
    </row>
    <row r="67" spans="1:9" hidden="1" outlineLevel="1">
      <c r="A67" s="23" t="s">
        <v>229</v>
      </c>
      <c r="B67" s="17"/>
      <c r="C67" s="17"/>
      <c r="D67" s="17"/>
      <c r="E67" s="17"/>
      <c r="F67" s="17"/>
      <c r="G67" s="17"/>
      <c r="H67" s="17"/>
      <c r="I67" s="17"/>
    </row>
    <row r="68" spans="1:9" hidden="1" outlineLevel="1">
      <c r="A68" s="23" t="s">
        <v>230</v>
      </c>
      <c r="B68" s="17"/>
      <c r="C68" s="17"/>
      <c r="D68" s="17"/>
      <c r="E68" s="17"/>
      <c r="F68" s="17"/>
      <c r="G68" s="17"/>
      <c r="H68" s="17"/>
      <c r="I68" s="17"/>
    </row>
    <row r="69" spans="1:9" hidden="1" outlineLevel="1">
      <c r="A69" s="23" t="s">
        <v>231</v>
      </c>
      <c r="B69" s="17"/>
      <c r="C69" s="17"/>
      <c r="D69" s="17"/>
      <c r="E69" s="17"/>
      <c r="F69" s="17"/>
      <c r="G69" s="17"/>
      <c r="H69" s="17"/>
      <c r="I69" s="17"/>
    </row>
    <row r="70" spans="1:9" collapsed="1">
      <c r="A70" s="25" t="s">
        <v>232</v>
      </c>
      <c r="B70" s="17"/>
      <c r="C70" s="17"/>
      <c r="D70" s="17"/>
      <c r="E70" s="17"/>
      <c r="F70" s="17"/>
      <c r="G70" s="17"/>
      <c r="H70" s="17"/>
      <c r="I70" s="17"/>
    </row>
    <row r="71" spans="1:9" hidden="1" outlineLevel="1">
      <c r="A71" s="26" t="s">
        <v>233</v>
      </c>
      <c r="B71" s="17"/>
      <c r="C71" s="17"/>
      <c r="D71" s="17"/>
      <c r="E71" s="17"/>
      <c r="F71" s="17"/>
      <c r="G71" s="17"/>
      <c r="H71" s="17"/>
      <c r="I71" s="17"/>
    </row>
    <row r="72" spans="1:9" hidden="1" outlineLevel="1">
      <c r="A72" s="23" t="s">
        <v>234</v>
      </c>
      <c r="B72" s="17"/>
      <c r="C72" s="17"/>
      <c r="D72" s="17"/>
      <c r="E72" s="17"/>
      <c r="F72" s="17"/>
      <c r="G72" s="17"/>
      <c r="H72" s="17"/>
      <c r="I72" s="17"/>
    </row>
    <row r="73" spans="1:9" hidden="1" outlineLevel="1">
      <c r="A73" s="23" t="s">
        <v>235</v>
      </c>
      <c r="B73" s="17"/>
      <c r="C73" s="17"/>
      <c r="D73" s="17"/>
      <c r="E73" s="17"/>
      <c r="F73" s="17"/>
      <c r="G73" s="17"/>
      <c r="H73" s="17"/>
      <c r="I73" s="17"/>
    </row>
    <row r="74" spans="1:9" hidden="1" outlineLevel="1">
      <c r="A74" s="23" t="s">
        <v>236</v>
      </c>
      <c r="B74" s="17"/>
      <c r="C74" s="17"/>
      <c r="D74" s="17"/>
      <c r="E74" s="17"/>
      <c r="F74" s="17"/>
      <c r="G74" s="17"/>
      <c r="H74" s="17"/>
      <c r="I74" s="17"/>
    </row>
    <row r="75" spans="1:9" hidden="1" outlineLevel="1">
      <c r="A75" s="23" t="s">
        <v>237</v>
      </c>
      <c r="B75" s="17"/>
      <c r="C75" s="17"/>
      <c r="D75" s="17"/>
      <c r="E75" s="17"/>
      <c r="F75" s="17"/>
      <c r="G75" s="17"/>
      <c r="H75" s="17"/>
      <c r="I75" s="17"/>
    </row>
    <row r="76" spans="1:9" hidden="1" outlineLevel="1">
      <c r="A76" s="23" t="s">
        <v>238</v>
      </c>
      <c r="B76" s="17"/>
      <c r="C76" s="17"/>
      <c r="D76" s="17"/>
      <c r="E76" s="17"/>
      <c r="F76" s="17"/>
      <c r="G76" s="17"/>
      <c r="H76" s="17"/>
      <c r="I76" s="17"/>
    </row>
    <row r="77" spans="1:9" hidden="1" outlineLevel="1">
      <c r="A77" s="23" t="s">
        <v>239</v>
      </c>
      <c r="B77" s="17"/>
      <c r="C77" s="17"/>
      <c r="D77" s="17"/>
      <c r="E77" s="17"/>
      <c r="F77" s="17"/>
      <c r="G77" s="17"/>
      <c r="H77" s="17"/>
      <c r="I77" s="17"/>
    </row>
    <row r="78" spans="1:9" hidden="1" outlineLevel="1">
      <c r="A78" s="23" t="s">
        <v>240</v>
      </c>
      <c r="B78" s="17"/>
      <c r="C78" s="17"/>
      <c r="D78" s="17"/>
      <c r="E78" s="17"/>
      <c r="F78" s="17"/>
      <c r="G78" s="17"/>
      <c r="H78" s="17"/>
      <c r="I78" s="17"/>
    </row>
    <row r="79" spans="1:9" collapsed="1">
      <c r="A79" s="28" t="s">
        <v>241</v>
      </c>
      <c r="B79" s="17"/>
      <c r="C79" s="17"/>
      <c r="D79" s="17"/>
      <c r="E79" s="17"/>
      <c r="F79" s="17"/>
      <c r="G79" s="17"/>
      <c r="H79" s="17"/>
      <c r="I79" s="17"/>
    </row>
    <row r="80" spans="1:9" hidden="1" outlineLevel="1">
      <c r="A80" s="23" t="s">
        <v>242</v>
      </c>
      <c r="B80" s="17"/>
      <c r="C80" s="17"/>
      <c r="D80" s="17"/>
      <c r="E80" s="17"/>
      <c r="F80" s="17"/>
      <c r="G80" s="17"/>
      <c r="H80" s="17"/>
      <c r="I80" s="17"/>
    </row>
    <row r="81" spans="1:9" hidden="1" outlineLevel="1">
      <c r="A81" s="23" t="s">
        <v>243</v>
      </c>
      <c r="B81" s="17"/>
      <c r="C81" s="17"/>
      <c r="D81" s="17"/>
      <c r="E81" s="17"/>
      <c r="F81" s="17"/>
      <c r="G81" s="17"/>
      <c r="H81" s="17"/>
      <c r="I81" s="17"/>
    </row>
    <row r="82" spans="1:9" hidden="1" outlineLevel="1">
      <c r="A82" s="23" t="s">
        <v>244</v>
      </c>
      <c r="B82" s="17"/>
      <c r="C82" s="17"/>
      <c r="D82" s="17"/>
      <c r="E82" s="17"/>
      <c r="F82" s="17"/>
      <c r="G82" s="17"/>
      <c r="H82" s="17"/>
      <c r="I82" s="17"/>
    </row>
    <row r="83" spans="1:9" hidden="1" outlineLevel="1">
      <c r="A83" s="23" t="s">
        <v>245</v>
      </c>
      <c r="B83" s="17"/>
      <c r="C83" s="17"/>
      <c r="D83" s="17"/>
      <c r="E83" s="17"/>
      <c r="F83" s="17"/>
      <c r="G83" s="17"/>
      <c r="H83" s="17"/>
      <c r="I83" s="17"/>
    </row>
    <row r="84" spans="1:9" hidden="1" outlineLevel="1">
      <c r="A84" s="23" t="s">
        <v>246</v>
      </c>
      <c r="B84" s="17"/>
      <c r="C84" s="17"/>
      <c r="D84" s="17"/>
      <c r="E84" s="17"/>
      <c r="F84" s="17"/>
      <c r="G84" s="17"/>
      <c r="H84" s="17"/>
      <c r="I84" s="17"/>
    </row>
    <row r="85" spans="1:9" collapsed="1">
      <c r="A85" s="17" t="s">
        <v>247</v>
      </c>
      <c r="B85" s="17"/>
      <c r="C85" s="17"/>
      <c r="D85" s="17"/>
      <c r="E85" s="17"/>
      <c r="F85" s="17"/>
      <c r="G85" s="17"/>
      <c r="H85" s="17"/>
      <c r="I85" s="17"/>
    </row>
    <row r="86" spans="1:9" hidden="1" outlineLevel="1">
      <c r="A86" s="18" t="s">
        <v>248</v>
      </c>
      <c r="B86" s="17"/>
      <c r="C86" s="17"/>
      <c r="D86" s="17"/>
      <c r="E86" s="17"/>
      <c r="F86" s="17"/>
      <c r="G86" s="17"/>
      <c r="H86" s="17"/>
      <c r="I86" s="17"/>
    </row>
    <row r="87" spans="1:9" hidden="1" outlineLevel="1">
      <c r="A87" s="21" t="s">
        <v>249</v>
      </c>
      <c r="B87" s="17"/>
      <c r="C87" s="17"/>
      <c r="D87" s="17"/>
      <c r="E87" s="17"/>
      <c r="F87" s="17"/>
      <c r="G87" s="17"/>
      <c r="H87" s="17"/>
      <c r="I87" s="17"/>
    </row>
    <row r="88" spans="1:9" hidden="1" outlineLevel="1">
      <c r="A88" s="21" t="s">
        <v>250</v>
      </c>
      <c r="B88" s="17"/>
      <c r="C88" s="17"/>
      <c r="D88" s="17"/>
      <c r="E88" s="17"/>
      <c r="F88" s="17"/>
      <c r="G88" s="17"/>
      <c r="H88" s="17"/>
      <c r="I88" s="17"/>
    </row>
    <row r="89" spans="1:9" hidden="1" outlineLevel="1">
      <c r="A89" s="21" t="s">
        <v>251</v>
      </c>
      <c r="B89" s="17"/>
      <c r="C89" s="17"/>
      <c r="D89" s="17"/>
      <c r="E89" s="17"/>
      <c r="F89" s="17"/>
      <c r="G89" s="17"/>
      <c r="H89" s="17"/>
      <c r="I89" s="17"/>
    </row>
    <row r="90" spans="1:9" hidden="1" outlineLevel="1">
      <c r="A90" s="18" t="s">
        <v>252</v>
      </c>
      <c r="B90" s="17"/>
      <c r="C90" s="17"/>
      <c r="D90" s="17"/>
      <c r="E90" s="17"/>
      <c r="F90" s="17"/>
      <c r="G90" s="17"/>
      <c r="H90" s="17"/>
      <c r="I90" s="17"/>
    </row>
    <row r="91" spans="1:9" s="27" customFormat="1" hidden="1" outlineLevel="1">
      <c r="A91" s="21" t="s">
        <v>253</v>
      </c>
      <c r="B91" s="23"/>
      <c r="C91" s="23"/>
      <c r="D91" s="23"/>
      <c r="E91" s="23"/>
      <c r="F91" s="23"/>
      <c r="G91" s="23"/>
      <c r="H91" s="23"/>
      <c r="I91" s="23"/>
    </row>
    <row r="92" spans="1:9" s="27" customFormat="1" hidden="1" outlineLevel="1">
      <c r="A92" s="21" t="s">
        <v>254</v>
      </c>
      <c r="B92" s="23"/>
      <c r="C92" s="23"/>
      <c r="D92" s="23"/>
      <c r="E92" s="23"/>
      <c r="F92" s="23"/>
      <c r="G92" s="23"/>
      <c r="H92" s="23"/>
      <c r="I92" s="23"/>
    </row>
    <row r="93" spans="1:9" s="27" customFormat="1" hidden="1" outlineLevel="1">
      <c r="A93" s="21" t="s">
        <v>255</v>
      </c>
      <c r="B93" s="23"/>
      <c r="C93" s="23"/>
      <c r="D93" s="23"/>
      <c r="E93" s="23"/>
      <c r="F93" s="23"/>
      <c r="G93" s="23"/>
      <c r="H93" s="23"/>
      <c r="I93" s="23"/>
    </row>
    <row r="94" spans="1:9" s="27" customFormat="1" hidden="1" outlineLevel="1">
      <c r="A94" s="21" t="s">
        <v>256</v>
      </c>
      <c r="B94" s="23"/>
      <c r="C94" s="23"/>
      <c r="D94" s="23"/>
      <c r="E94" s="23"/>
      <c r="F94" s="23"/>
      <c r="G94" s="23"/>
      <c r="H94" s="23"/>
      <c r="I94" s="23"/>
    </row>
    <row r="95" spans="1:9" s="27" customFormat="1" hidden="1" outlineLevel="1">
      <c r="A95" s="21" t="s">
        <v>257</v>
      </c>
      <c r="B95" s="23"/>
      <c r="C95" s="23"/>
      <c r="D95" s="23"/>
      <c r="E95" s="23"/>
      <c r="F95" s="23"/>
      <c r="G95" s="23"/>
      <c r="H95" s="23"/>
      <c r="I95" s="23"/>
    </row>
    <row r="96" spans="1:9" hidden="1" outlineLevel="1">
      <c r="A96" s="18" t="s">
        <v>258</v>
      </c>
      <c r="B96" s="17"/>
      <c r="C96" s="17"/>
      <c r="D96" s="17"/>
      <c r="E96" s="17"/>
      <c r="F96" s="17"/>
      <c r="G96" s="17"/>
      <c r="H96" s="17"/>
      <c r="I96" s="17"/>
    </row>
    <row r="97" spans="1:9" hidden="1" outlineLevel="1">
      <c r="A97" s="23" t="s">
        <v>259</v>
      </c>
      <c r="B97" s="17"/>
      <c r="C97" s="17"/>
      <c r="D97" s="17"/>
      <c r="E97" s="17"/>
      <c r="F97" s="17"/>
      <c r="G97" s="17"/>
      <c r="H97" s="17"/>
      <c r="I97" s="17"/>
    </row>
    <row r="98" spans="1:9" hidden="1" outlineLevel="1">
      <c r="A98" s="23" t="s">
        <v>260</v>
      </c>
      <c r="B98" s="17"/>
      <c r="C98" s="17"/>
      <c r="D98" s="17"/>
      <c r="E98" s="17"/>
      <c r="F98" s="17"/>
      <c r="G98" s="17"/>
      <c r="H98" s="17"/>
      <c r="I98" s="17"/>
    </row>
    <row r="99" spans="1:9" hidden="1" outlineLevel="1">
      <c r="A99" s="23" t="s">
        <v>261</v>
      </c>
      <c r="B99" s="17"/>
      <c r="C99" s="17"/>
      <c r="D99" s="17"/>
      <c r="E99" s="17"/>
      <c r="F99" s="17"/>
      <c r="G99" s="17"/>
      <c r="H99" s="17"/>
      <c r="I99" s="17"/>
    </row>
    <row r="100" spans="1:9" hidden="1" outlineLevel="1">
      <c r="A100" s="23" t="s">
        <v>262</v>
      </c>
      <c r="B100" s="17"/>
      <c r="C100" s="17"/>
      <c r="D100" s="17"/>
      <c r="E100" s="17"/>
      <c r="F100" s="17"/>
      <c r="G100" s="17"/>
      <c r="H100" s="17"/>
      <c r="I100" s="17"/>
    </row>
    <row r="101" spans="1:9" hidden="1" outlineLevel="1">
      <c r="A101" s="23" t="s">
        <v>263</v>
      </c>
      <c r="B101" s="17"/>
      <c r="C101" s="17"/>
      <c r="D101" s="17"/>
      <c r="E101" s="17"/>
      <c r="F101" s="17"/>
      <c r="G101" s="17"/>
      <c r="H101" s="17"/>
      <c r="I101" s="17"/>
    </row>
    <row r="102" spans="1:9" hidden="1" outlineLevel="1">
      <c r="A102" s="18" t="s">
        <v>264</v>
      </c>
      <c r="B102" s="17"/>
      <c r="C102" s="17"/>
      <c r="D102" s="17"/>
      <c r="E102" s="17"/>
      <c r="F102" s="17"/>
      <c r="G102" s="17"/>
      <c r="H102" s="17"/>
      <c r="I102" s="17"/>
    </row>
    <row r="103" spans="1:9" collapsed="1">
      <c r="A103" s="17"/>
      <c r="B103" s="17"/>
      <c r="C103" s="17"/>
      <c r="D103" s="17"/>
      <c r="E103" s="17"/>
      <c r="F103" s="17"/>
      <c r="G103" s="17"/>
      <c r="H103" s="17"/>
      <c r="I103" s="17"/>
    </row>
    <row r="104" spans="1:9">
      <c r="A104" s="17"/>
      <c r="B104" s="17"/>
      <c r="C104" s="17"/>
      <c r="D104" s="17"/>
      <c r="E104" s="17"/>
      <c r="F104" s="17"/>
      <c r="G104" s="17"/>
      <c r="H104" s="17"/>
      <c r="I104" s="17"/>
    </row>
    <row r="105" spans="1:9">
      <c r="B105" s="17"/>
      <c r="C105" s="17"/>
      <c r="D105" s="17"/>
      <c r="E105" s="17"/>
      <c r="F105" s="17"/>
      <c r="G105" s="17"/>
      <c r="H105" s="17"/>
      <c r="I105" s="17"/>
    </row>
    <row r="106" spans="1:9">
      <c r="A106" s="17"/>
      <c r="B106" s="17"/>
      <c r="C106" s="17"/>
      <c r="D106" s="17"/>
      <c r="E106" s="17"/>
      <c r="F106" s="17"/>
      <c r="G106" s="17"/>
      <c r="H106" s="17"/>
      <c r="I106" s="17"/>
    </row>
    <row r="107" spans="1:9">
      <c r="A107" s="17"/>
      <c r="B107" s="17"/>
      <c r="C107" s="17"/>
      <c r="D107" s="17"/>
      <c r="E107" s="17"/>
      <c r="F107" s="17"/>
      <c r="G107" s="17"/>
      <c r="H107" s="17"/>
      <c r="I107" s="17"/>
    </row>
    <row r="108" spans="1:9">
      <c r="A108" s="17"/>
      <c r="B108" s="17"/>
      <c r="C108" s="17"/>
      <c r="D108" s="17"/>
      <c r="E108" s="17"/>
      <c r="F108" s="17"/>
      <c r="G108" s="17"/>
      <c r="H108" s="17"/>
      <c r="I108" s="17"/>
    </row>
    <row r="109" spans="1:9">
      <c r="A109" s="17"/>
      <c r="B109" s="17"/>
      <c r="C109" s="17"/>
      <c r="D109" s="17"/>
      <c r="E109" s="17"/>
      <c r="F109" s="17"/>
      <c r="G109" s="17"/>
      <c r="H109" s="17"/>
      <c r="I109" s="17"/>
    </row>
    <row r="110" spans="1:9">
      <c r="A110" s="17"/>
      <c r="B110" s="17"/>
      <c r="C110" s="17"/>
      <c r="D110" s="17"/>
      <c r="E110" s="17"/>
      <c r="F110" s="17"/>
      <c r="G110" s="17"/>
      <c r="H110" s="17"/>
      <c r="I110" s="17"/>
    </row>
    <row r="111" spans="1:9">
      <c r="A111" s="17"/>
      <c r="B111" s="17"/>
      <c r="C111" s="17"/>
      <c r="D111" s="17"/>
      <c r="E111" s="17"/>
      <c r="F111" s="17"/>
      <c r="G111" s="17"/>
      <c r="H111" s="17"/>
      <c r="I111" s="17"/>
    </row>
    <row r="112" spans="1:9">
      <c r="A112" s="17"/>
      <c r="B112" s="17"/>
      <c r="C112" s="17"/>
      <c r="D112" s="17"/>
      <c r="E112" s="17"/>
      <c r="F112" s="17"/>
      <c r="G112" s="17"/>
      <c r="H112" s="17"/>
      <c r="I112" s="17"/>
    </row>
    <row r="113" spans="1:9">
      <c r="A113" s="17"/>
      <c r="B113" s="17"/>
      <c r="C113" s="17"/>
      <c r="D113" s="17"/>
      <c r="E113" s="17"/>
      <c r="F113" s="17"/>
      <c r="G113" s="17"/>
      <c r="H113" s="17"/>
      <c r="I113" s="17"/>
    </row>
    <row r="114" spans="1:9">
      <c r="A114" s="17"/>
      <c r="B114" s="17"/>
      <c r="C114" s="17"/>
      <c r="D114" s="17"/>
      <c r="E114" s="17"/>
      <c r="F114" s="17"/>
      <c r="G114" s="17"/>
      <c r="H114" s="17"/>
      <c r="I114" s="17"/>
    </row>
    <row r="115" spans="1:9">
      <c r="A115" s="17"/>
      <c r="B115" s="17"/>
      <c r="C115" s="17"/>
      <c r="D115" s="17"/>
      <c r="E115" s="17"/>
      <c r="F115" s="17"/>
      <c r="G115" s="17"/>
      <c r="H115" s="17"/>
      <c r="I115" s="17"/>
    </row>
    <row r="116" spans="1:9">
      <c r="A116" s="17"/>
      <c r="B116" s="17"/>
      <c r="C116" s="17"/>
      <c r="D116" s="17"/>
      <c r="E116" s="17"/>
      <c r="F116" s="17"/>
      <c r="G116" s="17"/>
      <c r="H116" s="17"/>
      <c r="I116" s="17"/>
    </row>
    <row r="117" spans="1:9">
      <c r="A117" s="17"/>
      <c r="B117" s="17"/>
      <c r="C117" s="17"/>
      <c r="D117" s="17"/>
      <c r="E117" s="17"/>
      <c r="F117" s="17"/>
      <c r="G117" s="17"/>
      <c r="H117" s="17"/>
      <c r="I117" s="17"/>
    </row>
    <row r="118" spans="1:9">
      <c r="A118" s="17"/>
      <c r="B118" s="17"/>
      <c r="C118" s="17"/>
      <c r="D118" s="17"/>
      <c r="E118" s="17"/>
      <c r="F118" s="17"/>
      <c r="G118" s="17"/>
      <c r="H118" s="17"/>
      <c r="I118" s="17"/>
    </row>
    <row r="119" spans="1:9">
      <c r="A119" s="17"/>
      <c r="B119" s="17"/>
      <c r="C119" s="17"/>
      <c r="D119" s="17"/>
      <c r="E119" s="17"/>
      <c r="F119" s="17"/>
      <c r="G119" s="17"/>
      <c r="H119" s="17"/>
      <c r="I119" s="17"/>
    </row>
    <row r="120" spans="1:9">
      <c r="A120" s="17"/>
      <c r="B120" s="17"/>
      <c r="C120" s="17"/>
      <c r="D120" s="17"/>
      <c r="E120" s="17"/>
      <c r="F120" s="17"/>
      <c r="G120" s="17"/>
      <c r="H120" s="17"/>
      <c r="I120" s="17"/>
    </row>
    <row r="121" spans="1:9">
      <c r="A121" s="17"/>
      <c r="B121" s="17"/>
      <c r="C121" s="17"/>
      <c r="D121" s="17"/>
      <c r="E121" s="17"/>
      <c r="F121" s="17"/>
      <c r="G121" s="17"/>
      <c r="H121" s="17"/>
      <c r="I121" s="17"/>
    </row>
    <row r="122" spans="1:9">
      <c r="A122" s="17"/>
      <c r="B122" s="17"/>
      <c r="C122" s="17"/>
      <c r="D122" s="17"/>
      <c r="E122" s="17"/>
      <c r="F122" s="17"/>
      <c r="G122" s="17"/>
      <c r="H122" s="17"/>
      <c r="I122" s="17"/>
    </row>
    <row r="123" spans="1:9">
      <c r="A123" s="17"/>
      <c r="B123" s="17"/>
      <c r="C123" s="17"/>
      <c r="D123" s="17"/>
      <c r="E123" s="17"/>
      <c r="F123" s="17"/>
      <c r="G123" s="17"/>
      <c r="H123" s="17"/>
      <c r="I123" s="17"/>
    </row>
    <row r="124" spans="1:9">
      <c r="A124" s="17"/>
      <c r="B124" s="17"/>
      <c r="C124" s="17"/>
      <c r="D124" s="17"/>
      <c r="E124" s="17"/>
      <c r="F124" s="17"/>
      <c r="G124" s="17"/>
      <c r="H124" s="17"/>
      <c r="I124" s="17"/>
    </row>
    <row r="125" spans="1:9">
      <c r="A125" s="17"/>
      <c r="B125" s="17"/>
      <c r="C125" s="17"/>
      <c r="D125" s="17"/>
      <c r="E125" s="17"/>
      <c r="F125" s="17"/>
      <c r="G125" s="17"/>
      <c r="H125" s="17"/>
      <c r="I125" s="17"/>
    </row>
    <row r="126" spans="1:9">
      <c r="A126" s="17"/>
      <c r="B126" s="17"/>
      <c r="C126" s="17"/>
      <c r="D126" s="17"/>
      <c r="E126" s="17"/>
      <c r="F126" s="17"/>
      <c r="G126" s="17"/>
      <c r="H126" s="17"/>
      <c r="I126" s="17"/>
    </row>
    <row r="127" spans="1:9">
      <c r="A127" s="17"/>
      <c r="B127" s="17"/>
      <c r="C127" s="17"/>
      <c r="D127" s="17"/>
      <c r="E127" s="17"/>
      <c r="F127" s="17"/>
      <c r="G127" s="17"/>
      <c r="H127" s="17"/>
      <c r="I127" s="17"/>
    </row>
    <row r="128" spans="1:9">
      <c r="A128" s="17"/>
      <c r="B128" s="17"/>
      <c r="C128" s="17"/>
      <c r="D128" s="17"/>
      <c r="E128" s="17"/>
      <c r="F128" s="17"/>
      <c r="G128" s="17"/>
      <c r="H128" s="17"/>
      <c r="I128" s="17"/>
    </row>
    <row r="129" spans="1:9">
      <c r="A129" s="17"/>
      <c r="B129" s="17"/>
      <c r="C129" s="17"/>
      <c r="D129" s="17"/>
      <c r="E129" s="17"/>
      <c r="F129" s="17"/>
      <c r="G129" s="17"/>
      <c r="H129" s="17"/>
      <c r="I129" s="17"/>
    </row>
    <row r="130" spans="1:9">
      <c r="A130" s="17"/>
      <c r="B130" s="17"/>
      <c r="C130" s="17"/>
      <c r="D130" s="17"/>
      <c r="E130" s="17"/>
      <c r="F130" s="17"/>
      <c r="G130" s="17"/>
      <c r="H130" s="17"/>
      <c r="I130" s="17"/>
    </row>
    <row r="131" spans="1:9">
      <c r="A131" s="17"/>
      <c r="B131" s="17"/>
      <c r="C131" s="17"/>
      <c r="D131" s="17"/>
      <c r="E131" s="17"/>
      <c r="F131" s="17"/>
      <c r="G131" s="17"/>
      <c r="H131" s="17"/>
      <c r="I131" s="17"/>
    </row>
    <row r="132" spans="1:9">
      <c r="A132" s="17"/>
      <c r="B132" s="17"/>
      <c r="C132" s="17"/>
      <c r="D132" s="17"/>
      <c r="E132" s="17"/>
      <c r="F132" s="17"/>
      <c r="G132" s="17"/>
      <c r="H132" s="17"/>
      <c r="I132" s="17"/>
    </row>
    <row r="133" spans="1:9">
      <c r="A133" s="17"/>
      <c r="B133" s="17"/>
      <c r="C133" s="17"/>
      <c r="D133" s="17"/>
      <c r="E133" s="17"/>
      <c r="F133" s="17"/>
      <c r="G133" s="17"/>
      <c r="H133" s="17"/>
      <c r="I133" s="17"/>
    </row>
    <row r="134" spans="1:9">
      <c r="A134" s="17"/>
      <c r="B134" s="17"/>
      <c r="C134" s="17"/>
      <c r="D134" s="17"/>
      <c r="E134" s="17"/>
      <c r="F134" s="17"/>
      <c r="G134" s="17"/>
      <c r="H134" s="17"/>
      <c r="I134" s="17"/>
    </row>
    <row r="135" spans="1:9">
      <c r="A135" s="17"/>
      <c r="B135" s="17"/>
      <c r="C135" s="17"/>
      <c r="D135" s="17"/>
      <c r="E135" s="17"/>
      <c r="F135" s="17"/>
      <c r="G135" s="17"/>
      <c r="H135" s="17"/>
      <c r="I135" s="17"/>
    </row>
    <row r="136" spans="1:9">
      <c r="A136" s="17"/>
      <c r="B136" s="17"/>
      <c r="C136" s="17"/>
      <c r="D136" s="17"/>
      <c r="E136" s="17"/>
      <c r="F136" s="17"/>
      <c r="G136" s="17"/>
      <c r="H136" s="17"/>
      <c r="I136" s="17"/>
    </row>
    <row r="137" spans="1:9">
      <c r="A137" s="17"/>
      <c r="B137" s="17"/>
      <c r="C137" s="17"/>
      <c r="D137" s="17"/>
      <c r="E137" s="17"/>
      <c r="F137" s="17"/>
      <c r="G137" s="17"/>
      <c r="H137" s="17"/>
      <c r="I137" s="17"/>
    </row>
    <row r="138" spans="1:9">
      <c r="A138" s="17"/>
      <c r="B138" s="17"/>
      <c r="C138" s="17"/>
      <c r="D138" s="17"/>
      <c r="E138" s="17"/>
      <c r="F138" s="17"/>
      <c r="G138" s="17"/>
      <c r="H138" s="17"/>
      <c r="I138" s="17"/>
    </row>
    <row r="139" spans="1:9">
      <c r="A139" s="17"/>
      <c r="B139" s="17"/>
      <c r="C139" s="17"/>
      <c r="D139" s="17"/>
      <c r="E139" s="17"/>
      <c r="F139" s="17"/>
      <c r="G139" s="17"/>
      <c r="H139" s="17"/>
      <c r="I139" s="17"/>
    </row>
    <row r="140" spans="1:9">
      <c r="A140" s="17"/>
      <c r="B140" s="17"/>
      <c r="C140" s="17"/>
      <c r="D140" s="17"/>
      <c r="E140" s="17"/>
      <c r="F140" s="17"/>
      <c r="G140" s="17"/>
      <c r="H140" s="17"/>
      <c r="I140" s="17"/>
    </row>
    <row r="141" spans="1:9">
      <c r="A141" s="17"/>
      <c r="B141" s="17"/>
      <c r="C141" s="17"/>
      <c r="D141" s="17"/>
      <c r="E141" s="17"/>
      <c r="F141" s="17"/>
      <c r="G141" s="17"/>
      <c r="H141" s="17"/>
      <c r="I141" s="17"/>
    </row>
    <row r="142" spans="1:9">
      <c r="A142" s="17"/>
      <c r="B142" s="17"/>
      <c r="C142" s="17"/>
      <c r="D142" s="17"/>
      <c r="E142" s="17"/>
      <c r="F142" s="17"/>
      <c r="G142" s="17"/>
      <c r="H142" s="17"/>
      <c r="I142" s="17"/>
    </row>
    <row r="143" spans="1:9">
      <c r="A143" s="17"/>
      <c r="B143" s="17"/>
      <c r="C143" s="17"/>
      <c r="D143" s="17"/>
      <c r="E143" s="17"/>
      <c r="F143" s="17"/>
      <c r="G143" s="17"/>
      <c r="H143" s="17"/>
      <c r="I143" s="17"/>
    </row>
    <row r="144" spans="1:9">
      <c r="A144" s="17"/>
      <c r="B144" s="17"/>
      <c r="C144" s="17"/>
      <c r="D144" s="17"/>
      <c r="E144" s="17"/>
      <c r="F144" s="17"/>
      <c r="G144" s="17"/>
      <c r="H144" s="17"/>
      <c r="I144" s="17"/>
    </row>
    <row r="145" spans="1:9">
      <c r="A145" s="17"/>
      <c r="B145" s="17"/>
      <c r="C145" s="17"/>
      <c r="D145" s="17"/>
      <c r="E145" s="17"/>
      <c r="F145" s="17"/>
      <c r="G145" s="17"/>
      <c r="H145" s="17"/>
      <c r="I145" s="17"/>
    </row>
    <row r="146" spans="1:9">
      <c r="A146" s="17"/>
      <c r="B146" s="17"/>
      <c r="C146" s="17"/>
      <c r="D146" s="17"/>
      <c r="E146" s="17"/>
      <c r="F146" s="17"/>
      <c r="G146" s="17"/>
      <c r="H146" s="17"/>
      <c r="I146" s="17"/>
    </row>
    <row r="147" spans="1:9">
      <c r="A147" s="17"/>
      <c r="B147" s="17"/>
      <c r="C147" s="17"/>
      <c r="D147" s="17"/>
      <c r="E147" s="17"/>
      <c r="F147" s="17"/>
      <c r="G147" s="17"/>
      <c r="H147" s="17"/>
      <c r="I147" s="17"/>
    </row>
    <row r="148" spans="1:9">
      <c r="A148" s="17"/>
      <c r="B148" s="17"/>
      <c r="C148" s="17"/>
      <c r="D148" s="17"/>
      <c r="E148" s="17"/>
      <c r="F148" s="17"/>
      <c r="G148" s="17"/>
      <c r="H148" s="17"/>
      <c r="I148" s="17"/>
    </row>
    <row r="149" spans="1:9">
      <c r="A149" s="17"/>
      <c r="B149" s="17"/>
      <c r="C149" s="17"/>
      <c r="D149" s="17"/>
      <c r="E149" s="17"/>
      <c r="F149" s="17"/>
      <c r="G149" s="17"/>
      <c r="H149" s="17"/>
      <c r="I149" s="17"/>
    </row>
    <row r="150" spans="1:9">
      <c r="A150" s="17"/>
      <c r="B150" s="17"/>
      <c r="C150" s="17"/>
      <c r="D150" s="17"/>
      <c r="E150" s="17"/>
      <c r="F150" s="17"/>
      <c r="G150" s="17"/>
      <c r="H150" s="17"/>
      <c r="I150" s="17"/>
    </row>
    <row r="151" spans="1:9">
      <c r="A151" s="17"/>
      <c r="B151" s="17"/>
      <c r="C151" s="17"/>
      <c r="D151" s="17"/>
      <c r="E151" s="17"/>
      <c r="F151" s="17"/>
      <c r="G151" s="17"/>
      <c r="H151" s="17"/>
      <c r="I151" s="17"/>
    </row>
    <row r="152" spans="1:9">
      <c r="A152" s="17"/>
      <c r="B152" s="17"/>
      <c r="C152" s="17"/>
      <c r="D152" s="17"/>
      <c r="E152" s="17"/>
      <c r="F152" s="17"/>
      <c r="G152" s="17"/>
      <c r="H152" s="17"/>
      <c r="I152" s="17"/>
    </row>
    <row r="153" spans="1:9">
      <c r="A153" s="17"/>
      <c r="B153" s="17"/>
      <c r="C153" s="17"/>
      <c r="D153" s="17"/>
      <c r="E153" s="17"/>
      <c r="F153" s="17"/>
      <c r="G153" s="17"/>
      <c r="H153" s="17"/>
      <c r="I153" s="17"/>
    </row>
    <row r="154" spans="1:9">
      <c r="A154" s="17"/>
      <c r="B154" s="17"/>
      <c r="C154" s="17"/>
      <c r="D154" s="17"/>
      <c r="E154" s="17"/>
      <c r="F154" s="17"/>
      <c r="G154" s="17"/>
      <c r="H154" s="17"/>
      <c r="I154" s="17"/>
    </row>
    <row r="155" spans="1:9">
      <c r="A155" s="17"/>
      <c r="B155" s="17"/>
      <c r="C155" s="17"/>
      <c r="D155" s="17"/>
      <c r="E155" s="17"/>
      <c r="F155" s="17"/>
      <c r="G155" s="17"/>
      <c r="H155" s="17"/>
      <c r="I155" s="17"/>
    </row>
    <row r="156" spans="1:9">
      <c r="A156" s="17"/>
      <c r="B156" s="17"/>
      <c r="C156" s="17"/>
      <c r="D156" s="17"/>
      <c r="E156" s="17"/>
      <c r="F156" s="17"/>
      <c r="G156" s="17"/>
      <c r="H156" s="17"/>
      <c r="I156" s="17"/>
    </row>
    <row r="157" spans="1:9">
      <c r="A157" s="17"/>
      <c r="B157" s="17"/>
      <c r="C157" s="17"/>
      <c r="D157" s="17"/>
      <c r="E157" s="17"/>
      <c r="F157" s="17"/>
      <c r="G157" s="17"/>
      <c r="H157" s="17"/>
      <c r="I157" s="17"/>
    </row>
    <row r="158" spans="1:9">
      <c r="A158" s="17"/>
      <c r="B158" s="17"/>
      <c r="C158" s="17"/>
      <c r="D158" s="17"/>
      <c r="E158" s="17"/>
      <c r="F158" s="17"/>
      <c r="G158" s="17"/>
      <c r="H158" s="17"/>
      <c r="I158" s="17"/>
    </row>
    <row r="159" spans="1:9">
      <c r="A159" s="17"/>
      <c r="B159" s="17"/>
      <c r="C159" s="17"/>
      <c r="D159" s="17"/>
      <c r="E159" s="17"/>
      <c r="F159" s="17"/>
      <c r="G159" s="17"/>
      <c r="H159" s="17"/>
      <c r="I159" s="17"/>
    </row>
    <row r="160" spans="1:9">
      <c r="A160" s="17"/>
      <c r="B160" s="17"/>
      <c r="C160" s="17"/>
      <c r="D160" s="17"/>
      <c r="E160" s="17"/>
      <c r="F160" s="17"/>
      <c r="G160" s="17"/>
      <c r="H160" s="17"/>
      <c r="I160" s="17"/>
    </row>
    <row r="161" spans="1:9">
      <c r="A161" s="17"/>
      <c r="B161" s="17"/>
      <c r="C161" s="17"/>
      <c r="D161" s="17"/>
      <c r="E161" s="17"/>
      <c r="F161" s="17"/>
      <c r="G161" s="17"/>
      <c r="H161" s="17"/>
      <c r="I161" s="17"/>
    </row>
    <row r="162" spans="1:9">
      <c r="A162" s="17"/>
      <c r="B162" s="17"/>
      <c r="C162" s="17"/>
      <c r="D162" s="17"/>
      <c r="E162" s="17"/>
      <c r="F162" s="17"/>
      <c r="G162" s="17"/>
      <c r="H162" s="17"/>
      <c r="I162" s="17"/>
    </row>
    <row r="163" spans="1:9">
      <c r="A163" s="17"/>
      <c r="B163" s="17"/>
      <c r="C163" s="17"/>
      <c r="D163" s="17"/>
      <c r="E163" s="17"/>
      <c r="F163" s="17"/>
      <c r="G163" s="17"/>
      <c r="H163" s="17"/>
      <c r="I163" s="17"/>
    </row>
    <row r="164" spans="1:9">
      <c r="A164" s="17"/>
      <c r="B164" s="17"/>
      <c r="C164" s="17"/>
      <c r="D164" s="17"/>
      <c r="E164" s="17"/>
      <c r="F164" s="17"/>
      <c r="G164" s="17"/>
      <c r="H164" s="17"/>
      <c r="I164" s="17"/>
    </row>
    <row r="165" spans="1:9">
      <c r="A165" s="17"/>
      <c r="B165" s="17"/>
      <c r="C165" s="17"/>
      <c r="D165" s="17"/>
      <c r="E165" s="17"/>
      <c r="F165" s="17"/>
      <c r="G165" s="17"/>
      <c r="H165" s="17"/>
      <c r="I165" s="17"/>
    </row>
    <row r="166" spans="1:9">
      <c r="A166" s="17"/>
      <c r="B166" s="17"/>
      <c r="C166" s="17"/>
      <c r="D166" s="17"/>
      <c r="E166" s="17"/>
      <c r="F166" s="17"/>
      <c r="G166" s="17"/>
      <c r="H166" s="17"/>
      <c r="I166" s="17"/>
    </row>
    <row r="167" spans="1:9">
      <c r="A167" s="17"/>
      <c r="B167" s="17"/>
      <c r="C167" s="17"/>
      <c r="D167" s="17"/>
      <c r="E167" s="17"/>
      <c r="F167" s="17"/>
      <c r="G167" s="17"/>
      <c r="H167" s="17"/>
      <c r="I167" s="17"/>
    </row>
    <row r="168" spans="1:9">
      <c r="A168" s="17"/>
      <c r="B168" s="17"/>
      <c r="C168" s="17"/>
      <c r="D168" s="17"/>
      <c r="E168" s="17"/>
      <c r="F168" s="17"/>
      <c r="G168" s="17"/>
      <c r="H168" s="17"/>
      <c r="I168" s="17"/>
    </row>
    <row r="169" spans="1:9">
      <c r="A169" s="17"/>
      <c r="B169" s="17"/>
      <c r="C169" s="17"/>
      <c r="D169" s="17"/>
      <c r="E169" s="17"/>
      <c r="F169" s="17"/>
      <c r="G169" s="17"/>
      <c r="H169" s="17"/>
      <c r="I169" s="17"/>
    </row>
    <row r="170" spans="1:9">
      <c r="A170" s="17"/>
      <c r="B170" s="17"/>
      <c r="C170" s="17"/>
      <c r="D170" s="17"/>
      <c r="E170" s="17"/>
      <c r="F170" s="17"/>
      <c r="G170" s="17"/>
      <c r="H170" s="17"/>
      <c r="I170" s="17"/>
    </row>
    <row r="171" spans="1:9">
      <c r="A171" s="17"/>
      <c r="B171" s="17"/>
      <c r="C171" s="17"/>
      <c r="D171" s="17"/>
      <c r="E171" s="17"/>
      <c r="F171" s="17"/>
      <c r="G171" s="17"/>
      <c r="H171" s="17"/>
      <c r="I171" s="17"/>
    </row>
    <row r="172" spans="1:9">
      <c r="A172" s="17"/>
      <c r="B172" s="17"/>
      <c r="C172" s="17"/>
      <c r="D172" s="17"/>
      <c r="E172" s="17"/>
      <c r="F172" s="17"/>
      <c r="G172" s="17"/>
      <c r="H172" s="17"/>
      <c r="I172" s="17"/>
    </row>
    <row r="173" spans="1:9">
      <c r="A173" s="17"/>
      <c r="B173" s="17"/>
      <c r="C173" s="17"/>
      <c r="D173" s="17"/>
      <c r="E173" s="17"/>
      <c r="F173" s="17"/>
      <c r="G173" s="17"/>
      <c r="H173" s="17"/>
      <c r="I173" s="17"/>
    </row>
    <row r="174" spans="1:9">
      <c r="A174" s="17"/>
      <c r="B174" s="17"/>
      <c r="C174" s="17"/>
      <c r="D174" s="17"/>
      <c r="E174" s="17"/>
      <c r="F174" s="17"/>
      <c r="G174" s="17"/>
      <c r="H174" s="17"/>
      <c r="I174" s="17"/>
    </row>
    <row r="175" spans="1:9">
      <c r="A175" s="17"/>
      <c r="B175" s="17"/>
      <c r="C175" s="17"/>
      <c r="D175" s="17"/>
      <c r="E175" s="17"/>
      <c r="F175" s="17"/>
      <c r="G175" s="17"/>
      <c r="H175" s="17"/>
      <c r="I175" s="17"/>
    </row>
    <row r="176" spans="1:9">
      <c r="A176" s="17"/>
      <c r="B176" s="17"/>
      <c r="C176" s="17"/>
      <c r="D176" s="17"/>
      <c r="E176" s="17"/>
      <c r="F176" s="17"/>
      <c r="G176" s="17"/>
      <c r="H176" s="17"/>
      <c r="I176" s="17"/>
    </row>
    <row r="177" spans="1:9">
      <c r="A177" s="17"/>
      <c r="B177" s="17"/>
      <c r="C177" s="17"/>
      <c r="D177" s="17"/>
      <c r="E177" s="17"/>
      <c r="F177" s="17"/>
      <c r="G177" s="17"/>
      <c r="H177" s="17"/>
      <c r="I177" s="17"/>
    </row>
    <row r="178" spans="1:9">
      <c r="A178" s="17"/>
      <c r="B178" s="17"/>
      <c r="C178" s="17"/>
      <c r="D178" s="17"/>
      <c r="E178" s="17"/>
      <c r="F178" s="17"/>
      <c r="G178" s="17"/>
      <c r="H178" s="17"/>
      <c r="I178" s="17"/>
    </row>
    <row r="179" spans="1:9">
      <c r="A179" s="17"/>
      <c r="B179" s="17"/>
      <c r="C179" s="17"/>
      <c r="D179" s="17"/>
      <c r="E179" s="17"/>
      <c r="F179" s="17"/>
      <c r="G179" s="17"/>
      <c r="H179" s="17"/>
      <c r="I179" s="17"/>
    </row>
    <row r="180" spans="1:9">
      <c r="A180" s="17"/>
      <c r="B180" s="17"/>
      <c r="C180" s="17"/>
      <c r="D180" s="17"/>
      <c r="E180" s="17"/>
      <c r="F180" s="17"/>
      <c r="G180" s="17"/>
      <c r="H180" s="17"/>
      <c r="I180" s="17"/>
    </row>
    <row r="181" spans="1:9">
      <c r="A181" s="17"/>
      <c r="B181" s="17"/>
      <c r="C181" s="17"/>
      <c r="D181" s="17"/>
      <c r="E181" s="17"/>
      <c r="F181" s="17"/>
      <c r="G181" s="17"/>
      <c r="H181" s="17"/>
      <c r="I181" s="17"/>
    </row>
    <row r="182" spans="1:9">
      <c r="A182" s="17"/>
      <c r="B182" s="17"/>
      <c r="C182" s="17"/>
      <c r="D182" s="17"/>
      <c r="E182" s="17"/>
      <c r="F182" s="17"/>
      <c r="G182" s="17"/>
      <c r="H182" s="17"/>
      <c r="I182" s="17"/>
    </row>
    <row r="183" spans="1:9">
      <c r="A183" s="17"/>
      <c r="B183" s="17"/>
      <c r="C183" s="17"/>
      <c r="D183" s="17"/>
      <c r="E183" s="17"/>
      <c r="F183" s="17"/>
      <c r="G183" s="17"/>
      <c r="H183" s="17"/>
      <c r="I183" s="17"/>
    </row>
    <row r="184" spans="1:9">
      <c r="A184" s="17"/>
      <c r="B184" s="17"/>
      <c r="C184" s="17"/>
      <c r="D184" s="17"/>
      <c r="E184" s="17"/>
      <c r="F184" s="17"/>
      <c r="G184" s="17"/>
      <c r="H184" s="17"/>
      <c r="I184" s="17"/>
    </row>
    <row r="185" spans="1:9">
      <c r="A185" s="17"/>
      <c r="B185" s="17"/>
      <c r="C185" s="17"/>
      <c r="D185" s="17"/>
      <c r="E185" s="17"/>
      <c r="F185" s="17"/>
      <c r="G185" s="17"/>
      <c r="H185" s="17"/>
      <c r="I185" s="17"/>
    </row>
    <row r="186" spans="1:9">
      <c r="A186" s="17"/>
      <c r="B186" s="17"/>
      <c r="C186" s="17"/>
      <c r="D186" s="17"/>
      <c r="E186" s="17"/>
      <c r="F186" s="17"/>
      <c r="G186" s="17"/>
      <c r="H186" s="17"/>
      <c r="I186" s="17"/>
    </row>
    <row r="187" spans="1:9">
      <c r="A187" s="17"/>
      <c r="B187" s="17"/>
      <c r="C187" s="17"/>
      <c r="D187" s="17"/>
      <c r="E187" s="17"/>
      <c r="F187" s="17"/>
      <c r="G187" s="17"/>
      <c r="H187" s="17"/>
      <c r="I187" s="17"/>
    </row>
    <row r="188" spans="1:9">
      <c r="A188" s="17"/>
      <c r="B188" s="17"/>
      <c r="C188" s="17"/>
      <c r="D188" s="17"/>
      <c r="E188" s="17"/>
      <c r="F188" s="17"/>
      <c r="G188" s="17"/>
      <c r="H188" s="17"/>
      <c r="I188" s="17"/>
    </row>
    <row r="189" spans="1:9">
      <c r="A189" s="17"/>
      <c r="B189" s="17"/>
      <c r="C189" s="17"/>
      <c r="D189" s="17"/>
      <c r="E189" s="17"/>
      <c r="F189" s="17"/>
      <c r="G189" s="17"/>
      <c r="H189" s="17"/>
      <c r="I189" s="17"/>
    </row>
    <row r="190" spans="1:9">
      <c r="A190" s="17"/>
      <c r="B190" s="17"/>
      <c r="C190" s="17"/>
      <c r="D190" s="17"/>
      <c r="E190" s="17"/>
      <c r="F190" s="17"/>
      <c r="G190" s="17"/>
      <c r="H190" s="17"/>
      <c r="I190" s="17"/>
    </row>
    <row r="191" spans="1:9">
      <c r="A191" s="17"/>
      <c r="B191" s="17"/>
      <c r="C191" s="17"/>
      <c r="D191" s="17"/>
      <c r="E191" s="17"/>
      <c r="F191" s="17"/>
      <c r="G191" s="17"/>
      <c r="H191" s="17"/>
      <c r="I191" s="17"/>
    </row>
    <row r="192" spans="1:9">
      <c r="A192" s="17"/>
      <c r="B192" s="17"/>
      <c r="C192" s="17"/>
      <c r="D192" s="17"/>
      <c r="E192" s="17"/>
      <c r="F192" s="17"/>
      <c r="G192" s="17"/>
      <c r="H192" s="17"/>
      <c r="I192" s="17"/>
    </row>
    <row r="193" spans="1:9">
      <c r="A193" s="17"/>
      <c r="B193" s="17"/>
      <c r="C193" s="17"/>
      <c r="D193" s="17"/>
      <c r="E193" s="17"/>
      <c r="F193" s="17"/>
      <c r="G193" s="17"/>
      <c r="H193" s="17"/>
      <c r="I193" s="17"/>
    </row>
    <row r="194" spans="1:9">
      <c r="A194" s="17"/>
      <c r="B194" s="17"/>
      <c r="C194" s="17"/>
      <c r="D194" s="17"/>
      <c r="E194" s="17"/>
      <c r="F194" s="17"/>
      <c r="G194" s="17"/>
      <c r="H194" s="17"/>
      <c r="I194" s="17"/>
    </row>
    <row r="195" spans="1:9">
      <c r="A195" s="17"/>
      <c r="B195" s="17"/>
      <c r="C195" s="17"/>
      <c r="D195" s="17"/>
      <c r="E195" s="17"/>
      <c r="F195" s="17"/>
      <c r="G195" s="17"/>
      <c r="H195" s="17"/>
      <c r="I195" s="17"/>
    </row>
    <row r="196" spans="1:9">
      <c r="A196" s="17"/>
      <c r="B196" s="17"/>
      <c r="C196" s="17"/>
      <c r="D196" s="17"/>
      <c r="E196" s="17"/>
      <c r="F196" s="17"/>
      <c r="G196" s="17"/>
      <c r="H196" s="17"/>
      <c r="I196" s="17"/>
    </row>
    <row r="197" spans="1:9">
      <c r="A197" s="17"/>
      <c r="B197" s="17"/>
      <c r="C197" s="17"/>
      <c r="D197" s="17"/>
      <c r="E197" s="17"/>
      <c r="F197" s="17"/>
      <c r="G197" s="17"/>
      <c r="H197" s="17"/>
      <c r="I197" s="17"/>
    </row>
    <row r="198" spans="1:9">
      <c r="A198" s="17"/>
      <c r="B198" s="17"/>
      <c r="C198" s="17"/>
      <c r="D198" s="17"/>
      <c r="E198" s="17"/>
      <c r="F198" s="17"/>
      <c r="G198" s="17"/>
      <c r="H198" s="17"/>
      <c r="I198" s="17"/>
    </row>
    <row r="199" spans="1:9">
      <c r="A199" s="17"/>
      <c r="B199" s="17"/>
      <c r="C199" s="17"/>
      <c r="D199" s="17"/>
      <c r="E199" s="17"/>
      <c r="F199" s="17"/>
      <c r="G199" s="17"/>
      <c r="H199" s="17"/>
      <c r="I199" s="17"/>
    </row>
    <row r="200" spans="1:9">
      <c r="A200" s="17"/>
      <c r="B200" s="17"/>
      <c r="C200" s="17"/>
      <c r="D200" s="17"/>
      <c r="E200" s="17"/>
      <c r="F200" s="17"/>
      <c r="G200" s="17"/>
      <c r="H200" s="17"/>
      <c r="I200" s="17"/>
    </row>
    <row r="201" spans="1:9">
      <c r="A201" s="17"/>
      <c r="B201" s="17"/>
      <c r="C201" s="17"/>
      <c r="D201" s="17"/>
      <c r="E201" s="17"/>
      <c r="F201" s="17"/>
      <c r="G201" s="17"/>
      <c r="H201" s="17"/>
      <c r="I201" s="17"/>
    </row>
    <row r="202" spans="1:9">
      <c r="A202" s="17"/>
      <c r="B202" s="17"/>
      <c r="C202" s="17"/>
      <c r="D202" s="17"/>
      <c r="E202" s="17"/>
      <c r="F202" s="17"/>
      <c r="G202" s="17"/>
      <c r="H202" s="17"/>
      <c r="I202" s="17"/>
    </row>
    <row r="203" spans="1:9">
      <c r="A203" s="17"/>
      <c r="B203" s="17"/>
      <c r="C203" s="17"/>
      <c r="D203" s="17"/>
      <c r="E203" s="17"/>
      <c r="F203" s="17"/>
      <c r="G203" s="17"/>
      <c r="H203" s="17"/>
      <c r="I203" s="17"/>
    </row>
    <row r="204" spans="1:9">
      <c r="A204" s="17"/>
      <c r="B204" s="17"/>
      <c r="C204" s="17"/>
      <c r="D204" s="17"/>
      <c r="E204" s="17"/>
      <c r="F204" s="17"/>
      <c r="G204" s="17"/>
      <c r="H204" s="17"/>
      <c r="I204" s="17"/>
    </row>
    <row r="205" spans="1:9">
      <c r="A205" s="17"/>
      <c r="B205" s="17"/>
      <c r="C205" s="17"/>
      <c r="D205" s="17"/>
      <c r="E205" s="17"/>
      <c r="F205" s="17"/>
      <c r="G205" s="17"/>
      <c r="H205" s="17"/>
      <c r="I205" s="17"/>
    </row>
    <row r="206" spans="1:9">
      <c r="A206" s="17"/>
      <c r="B206" s="17"/>
      <c r="C206" s="17"/>
      <c r="D206" s="17"/>
      <c r="E206" s="17"/>
      <c r="F206" s="17"/>
      <c r="G206" s="17"/>
      <c r="H206" s="17"/>
      <c r="I206" s="17"/>
    </row>
    <row r="207" spans="1:9">
      <c r="A207" s="17"/>
      <c r="B207" s="17"/>
      <c r="C207" s="17"/>
      <c r="D207" s="17"/>
      <c r="E207" s="17"/>
      <c r="F207" s="17"/>
      <c r="G207" s="17"/>
      <c r="H207" s="17"/>
      <c r="I207" s="17"/>
    </row>
    <row r="208" spans="1:9">
      <c r="A208" s="17"/>
      <c r="B208" s="17"/>
      <c r="C208" s="17"/>
      <c r="D208" s="17"/>
      <c r="E208" s="17"/>
      <c r="F208" s="17"/>
      <c r="G208" s="17"/>
      <c r="H208" s="17"/>
      <c r="I208" s="17"/>
    </row>
    <row r="209" spans="1:9">
      <c r="A209" s="17"/>
      <c r="B209" s="17"/>
      <c r="C209" s="17"/>
      <c r="D209" s="17"/>
      <c r="E209" s="17"/>
      <c r="F209" s="17"/>
      <c r="G209" s="17"/>
      <c r="H209" s="17"/>
      <c r="I209" s="17"/>
    </row>
    <row r="210" spans="1:9">
      <c r="A210" s="17"/>
      <c r="B210" s="17"/>
      <c r="C210" s="17"/>
      <c r="D210" s="17"/>
      <c r="E210" s="17"/>
      <c r="F210" s="17"/>
      <c r="G210" s="17"/>
      <c r="H210" s="17"/>
      <c r="I210" s="17"/>
    </row>
    <row r="211" spans="1:9">
      <c r="A211" s="17"/>
      <c r="B211" s="17"/>
      <c r="C211" s="17"/>
      <c r="D211" s="17"/>
      <c r="E211" s="17"/>
      <c r="F211" s="17"/>
      <c r="G211" s="17"/>
      <c r="H211" s="17"/>
      <c r="I211" s="17"/>
    </row>
    <row r="212" spans="1:9">
      <c r="A212" s="17"/>
      <c r="B212" s="17"/>
      <c r="C212" s="17"/>
      <c r="D212" s="17"/>
      <c r="E212" s="17"/>
      <c r="F212" s="17"/>
      <c r="G212" s="17"/>
      <c r="H212" s="17"/>
      <c r="I212" s="17"/>
    </row>
    <row r="213" spans="1:9">
      <c r="A213" s="17"/>
      <c r="B213" s="17"/>
      <c r="C213" s="17"/>
      <c r="D213" s="17"/>
      <c r="E213" s="17"/>
      <c r="F213" s="17"/>
      <c r="G213" s="17"/>
      <c r="H213" s="17"/>
      <c r="I213" s="17"/>
    </row>
    <row r="214" spans="1:9">
      <c r="A214" s="17"/>
      <c r="B214" s="17"/>
      <c r="C214" s="17"/>
      <c r="D214" s="17"/>
      <c r="E214" s="17"/>
      <c r="F214" s="17"/>
      <c r="G214" s="17"/>
      <c r="H214" s="17"/>
      <c r="I214" s="17"/>
    </row>
    <row r="215" spans="1:9">
      <c r="A215" s="17"/>
      <c r="B215" s="17"/>
      <c r="C215" s="17"/>
      <c r="D215" s="17"/>
      <c r="E215" s="17"/>
      <c r="F215" s="17"/>
      <c r="G215" s="17"/>
      <c r="H215" s="17"/>
      <c r="I215" s="17"/>
    </row>
    <row r="216" spans="1:9">
      <c r="A216" s="17"/>
      <c r="B216" s="17"/>
      <c r="C216" s="17"/>
      <c r="D216" s="17"/>
      <c r="E216" s="17"/>
      <c r="F216" s="17"/>
      <c r="G216" s="17"/>
      <c r="H216" s="17"/>
      <c r="I216" s="17"/>
    </row>
    <row r="217" spans="1:9">
      <c r="A217" s="17"/>
      <c r="B217" s="17"/>
      <c r="C217" s="17"/>
      <c r="D217" s="17"/>
      <c r="E217" s="17"/>
      <c r="F217" s="17"/>
      <c r="G217" s="17"/>
      <c r="H217" s="17"/>
      <c r="I217" s="17"/>
    </row>
    <row r="218" spans="1:9">
      <c r="A218" s="17"/>
      <c r="B218" s="17"/>
      <c r="C218" s="17"/>
      <c r="D218" s="17"/>
      <c r="E218" s="17"/>
      <c r="F218" s="17"/>
      <c r="G218" s="17"/>
      <c r="H218" s="17"/>
      <c r="I218" s="17"/>
    </row>
    <row r="219" spans="1:9">
      <c r="A219" s="17"/>
      <c r="B219" s="17"/>
      <c r="C219" s="17"/>
      <c r="D219" s="17"/>
      <c r="E219" s="17"/>
      <c r="F219" s="17"/>
      <c r="G219" s="17"/>
      <c r="H219" s="17"/>
      <c r="I219" s="17"/>
    </row>
    <row r="220" spans="1:9">
      <c r="A220" s="17"/>
      <c r="B220" s="17"/>
      <c r="C220" s="17"/>
      <c r="D220" s="17"/>
      <c r="E220" s="17"/>
      <c r="F220" s="17"/>
      <c r="G220" s="17"/>
      <c r="H220" s="17"/>
      <c r="I220" s="17"/>
    </row>
    <row r="221" spans="1:9">
      <c r="A221" s="17"/>
      <c r="B221" s="17"/>
      <c r="C221" s="17"/>
      <c r="D221" s="17"/>
      <c r="E221" s="17"/>
      <c r="F221" s="17"/>
      <c r="G221" s="17"/>
      <c r="H221" s="17"/>
      <c r="I221" s="17"/>
    </row>
    <row r="222" spans="1:9">
      <c r="A222" s="17"/>
      <c r="B222" s="17"/>
      <c r="C222" s="17"/>
      <c r="D222" s="17"/>
      <c r="E222" s="17"/>
      <c r="F222" s="17"/>
      <c r="G222" s="17"/>
      <c r="H222" s="17"/>
      <c r="I222" s="17"/>
    </row>
    <row r="223" spans="1:9">
      <c r="A223" s="17"/>
      <c r="B223" s="17"/>
      <c r="C223" s="17"/>
      <c r="D223" s="17"/>
      <c r="E223" s="17"/>
      <c r="F223" s="17"/>
      <c r="G223" s="17"/>
      <c r="H223" s="17"/>
      <c r="I223" s="17"/>
    </row>
    <row r="224" spans="1:9">
      <c r="A224" s="17"/>
      <c r="B224" s="17"/>
      <c r="C224" s="17"/>
      <c r="D224" s="17"/>
      <c r="E224" s="17"/>
      <c r="F224" s="17"/>
      <c r="G224" s="17"/>
      <c r="H224" s="17"/>
      <c r="I224" s="17"/>
    </row>
    <row r="225" spans="1:9">
      <c r="A225" s="17"/>
      <c r="B225" s="17"/>
      <c r="C225" s="17"/>
      <c r="D225" s="17"/>
      <c r="E225" s="17"/>
      <c r="F225" s="17"/>
      <c r="G225" s="17"/>
      <c r="H225" s="17"/>
      <c r="I225" s="17"/>
    </row>
    <row r="226" spans="1:9">
      <c r="A226" s="17"/>
      <c r="B226" s="17"/>
      <c r="C226" s="17"/>
      <c r="D226" s="17"/>
      <c r="E226" s="17"/>
      <c r="F226" s="17"/>
      <c r="G226" s="17"/>
      <c r="H226" s="17"/>
      <c r="I226" s="17"/>
    </row>
    <row r="227" spans="1:9">
      <c r="A227" s="17"/>
      <c r="B227" s="17"/>
      <c r="C227" s="17"/>
      <c r="D227" s="17"/>
      <c r="E227" s="17"/>
      <c r="F227" s="17"/>
      <c r="G227" s="17"/>
      <c r="H227" s="17"/>
      <c r="I227" s="17"/>
    </row>
    <row r="228" spans="1:9">
      <c r="A228" s="17"/>
      <c r="B228" s="17"/>
      <c r="C228" s="17"/>
      <c r="D228" s="17"/>
      <c r="E228" s="17"/>
      <c r="F228" s="17"/>
      <c r="G228" s="17"/>
      <c r="H228" s="17"/>
      <c r="I228" s="17"/>
    </row>
    <row r="229" spans="1:9">
      <c r="A229" s="17"/>
      <c r="B229" s="17"/>
      <c r="C229" s="17"/>
      <c r="D229" s="17"/>
      <c r="E229" s="17"/>
      <c r="F229" s="17"/>
      <c r="G229" s="17"/>
      <c r="H229" s="17"/>
      <c r="I229" s="17"/>
    </row>
    <row r="230" spans="1:9">
      <c r="A230" s="17"/>
      <c r="B230" s="17"/>
      <c r="C230" s="17"/>
      <c r="D230" s="17"/>
      <c r="E230" s="17"/>
      <c r="F230" s="17"/>
      <c r="G230" s="17"/>
      <c r="H230" s="17"/>
      <c r="I230" s="17"/>
    </row>
    <row r="231" spans="1:9">
      <c r="A231" s="17"/>
      <c r="B231" s="17"/>
      <c r="C231" s="17"/>
      <c r="D231" s="17"/>
      <c r="E231" s="17"/>
      <c r="F231" s="17"/>
      <c r="G231" s="17"/>
      <c r="H231" s="17"/>
      <c r="I231" s="17"/>
    </row>
    <row r="232" spans="1:9">
      <c r="A232" s="17"/>
      <c r="B232" s="17"/>
      <c r="C232" s="17"/>
      <c r="D232" s="17"/>
      <c r="E232" s="17"/>
      <c r="F232" s="17"/>
      <c r="G232" s="17"/>
      <c r="H232" s="17"/>
      <c r="I232" s="17"/>
    </row>
    <row r="233" spans="1:9">
      <c r="A233" s="17"/>
      <c r="B233" s="17"/>
      <c r="C233" s="17"/>
      <c r="D233" s="17"/>
      <c r="E233" s="17"/>
      <c r="F233" s="17"/>
      <c r="G233" s="17"/>
      <c r="H233" s="17"/>
      <c r="I233" s="17"/>
    </row>
    <row r="234" spans="1:9">
      <c r="A234" s="17"/>
      <c r="B234" s="17"/>
      <c r="C234" s="17"/>
      <c r="D234" s="17"/>
      <c r="E234" s="17"/>
      <c r="F234" s="17"/>
      <c r="G234" s="17"/>
      <c r="H234" s="17"/>
      <c r="I234" s="17"/>
    </row>
    <row r="235" spans="1:9">
      <c r="A235" s="17"/>
      <c r="B235" s="17"/>
      <c r="C235" s="17"/>
      <c r="D235" s="17"/>
      <c r="E235" s="17"/>
      <c r="F235" s="17"/>
      <c r="G235" s="17"/>
      <c r="H235" s="17"/>
      <c r="I235" s="17"/>
    </row>
    <row r="236" spans="1:9">
      <c r="A236" s="17"/>
      <c r="B236" s="17"/>
      <c r="C236" s="17"/>
      <c r="D236" s="17"/>
      <c r="E236" s="17"/>
      <c r="F236" s="17"/>
      <c r="G236" s="17"/>
      <c r="H236" s="17"/>
      <c r="I236" s="17"/>
    </row>
    <row r="237" spans="1:9">
      <c r="A237" s="17"/>
      <c r="B237" s="17"/>
      <c r="C237" s="17"/>
      <c r="D237" s="17"/>
      <c r="E237" s="17"/>
      <c r="F237" s="17"/>
      <c r="G237" s="17"/>
      <c r="H237" s="17"/>
      <c r="I237" s="17"/>
    </row>
    <row r="238" spans="1:9">
      <c r="A238" s="17"/>
      <c r="B238" s="17"/>
      <c r="C238" s="17"/>
      <c r="D238" s="17"/>
      <c r="E238" s="17"/>
      <c r="F238" s="17"/>
      <c r="G238" s="17"/>
      <c r="H238" s="17"/>
      <c r="I238" s="17"/>
    </row>
    <row r="239" spans="1:9">
      <c r="A239" s="17"/>
      <c r="B239" s="17"/>
      <c r="C239" s="17"/>
      <c r="D239" s="17"/>
      <c r="E239" s="17"/>
      <c r="F239" s="17"/>
      <c r="G239" s="17"/>
      <c r="H239" s="17"/>
      <c r="I239" s="17"/>
    </row>
    <row r="240" spans="1:9">
      <c r="A240" s="17"/>
      <c r="B240" s="17"/>
      <c r="C240" s="17"/>
      <c r="D240" s="17"/>
      <c r="E240" s="17"/>
      <c r="F240" s="17"/>
      <c r="G240" s="17"/>
      <c r="H240" s="17"/>
      <c r="I240" s="17"/>
    </row>
    <row r="241" spans="1:9">
      <c r="A241" s="17"/>
      <c r="B241" s="17"/>
      <c r="C241" s="17"/>
      <c r="D241" s="17"/>
      <c r="E241" s="17"/>
      <c r="F241" s="17"/>
      <c r="G241" s="17"/>
      <c r="H241" s="17"/>
      <c r="I241" s="17"/>
    </row>
    <row r="242" spans="1:9">
      <c r="A242" s="17"/>
      <c r="B242" s="17"/>
      <c r="C242" s="17"/>
      <c r="D242" s="17"/>
      <c r="E242" s="17"/>
      <c r="F242" s="17"/>
      <c r="G242" s="17"/>
      <c r="H242" s="17"/>
      <c r="I242" s="17"/>
    </row>
    <row r="243" spans="1:9">
      <c r="A243" s="17"/>
      <c r="B243" s="17"/>
      <c r="C243" s="17"/>
      <c r="D243" s="17"/>
      <c r="E243" s="17"/>
      <c r="F243" s="17"/>
      <c r="G243" s="17"/>
      <c r="H243" s="17"/>
      <c r="I243" s="17"/>
    </row>
    <row r="244" spans="1:9">
      <c r="A244" s="17"/>
      <c r="B244" s="17"/>
      <c r="C244" s="17"/>
      <c r="D244" s="17"/>
      <c r="E244" s="17"/>
      <c r="F244" s="17"/>
      <c r="G244" s="17"/>
      <c r="H244" s="17"/>
      <c r="I244" s="17"/>
    </row>
    <row r="245" spans="1:9">
      <c r="A245" s="17"/>
      <c r="B245" s="17"/>
      <c r="C245" s="17"/>
      <c r="D245" s="17"/>
      <c r="E245" s="17"/>
      <c r="F245" s="17"/>
      <c r="G245" s="17"/>
      <c r="H245" s="17"/>
      <c r="I245" s="17"/>
    </row>
    <row r="246" spans="1:9">
      <c r="A246" s="17"/>
      <c r="B246" s="17"/>
      <c r="C246" s="17"/>
      <c r="D246" s="17"/>
      <c r="E246" s="17"/>
      <c r="F246" s="17"/>
      <c r="G246" s="17"/>
      <c r="H246" s="17"/>
      <c r="I246" s="17"/>
    </row>
    <row r="247" spans="1:9">
      <c r="A247" s="17"/>
      <c r="B247" s="17"/>
      <c r="C247" s="17"/>
      <c r="D247" s="17"/>
      <c r="E247" s="17"/>
      <c r="F247" s="17"/>
      <c r="G247" s="17"/>
      <c r="H247" s="17"/>
      <c r="I247" s="17"/>
    </row>
    <row r="248" spans="1:9">
      <c r="A248" s="17"/>
      <c r="B248" s="17"/>
      <c r="C248" s="17"/>
      <c r="D248" s="17"/>
      <c r="E248" s="17"/>
      <c r="F248" s="17"/>
      <c r="G248" s="17"/>
      <c r="H248" s="17"/>
      <c r="I248" s="17"/>
    </row>
    <row r="249" spans="1:9">
      <c r="A249" s="17"/>
      <c r="B249" s="17"/>
      <c r="C249" s="17"/>
      <c r="D249" s="17"/>
      <c r="E249" s="17"/>
      <c r="F249" s="17"/>
      <c r="G249" s="17"/>
      <c r="H249" s="17"/>
      <c r="I249" s="17"/>
    </row>
    <row r="250" spans="1:9">
      <c r="A250" s="17"/>
      <c r="B250" s="17"/>
      <c r="C250" s="17"/>
      <c r="D250" s="17"/>
      <c r="E250" s="17"/>
      <c r="F250" s="17"/>
      <c r="G250" s="17"/>
      <c r="H250" s="17"/>
      <c r="I250" s="17"/>
    </row>
    <row r="251" spans="1:9">
      <c r="A251" s="17"/>
      <c r="B251" s="17"/>
      <c r="C251" s="17"/>
      <c r="D251" s="17"/>
      <c r="E251" s="17"/>
      <c r="F251" s="17"/>
      <c r="G251" s="17"/>
      <c r="H251" s="17"/>
      <c r="I251" s="17"/>
    </row>
    <row r="252" spans="1:9">
      <c r="A252" s="17"/>
      <c r="B252" s="17"/>
      <c r="C252" s="17"/>
      <c r="D252" s="17"/>
      <c r="E252" s="17"/>
      <c r="F252" s="17"/>
      <c r="G252" s="17"/>
      <c r="H252" s="17"/>
      <c r="I252" s="17"/>
    </row>
    <row r="253" spans="1:9">
      <c r="A253" s="17"/>
      <c r="B253" s="17"/>
      <c r="C253" s="17"/>
      <c r="D253" s="17"/>
      <c r="E253" s="17"/>
      <c r="F253" s="17"/>
      <c r="G253" s="17"/>
      <c r="H253" s="17"/>
      <c r="I253" s="17"/>
    </row>
    <row r="254" spans="1:9">
      <c r="A254" s="17"/>
      <c r="B254" s="17"/>
      <c r="C254" s="17"/>
      <c r="D254" s="17"/>
      <c r="E254" s="17"/>
      <c r="F254" s="17"/>
      <c r="G254" s="17"/>
      <c r="H254" s="17"/>
      <c r="I254" s="17"/>
    </row>
    <row r="255" spans="1:9">
      <c r="A255" s="17"/>
      <c r="B255" s="17"/>
      <c r="C255" s="17"/>
      <c r="D255" s="17"/>
      <c r="E255" s="17"/>
      <c r="F255" s="17"/>
      <c r="G255" s="17"/>
      <c r="H255" s="17"/>
      <c r="I255" s="17"/>
    </row>
    <row r="256" spans="1:9">
      <c r="A256" s="17"/>
      <c r="B256" s="17"/>
      <c r="C256" s="17"/>
      <c r="D256" s="17"/>
      <c r="E256" s="17"/>
      <c r="F256" s="17"/>
      <c r="G256" s="17"/>
      <c r="H256" s="17"/>
      <c r="I256" s="17"/>
    </row>
    <row r="257" spans="1:9">
      <c r="A257" s="17"/>
      <c r="B257" s="17"/>
      <c r="C257" s="17"/>
      <c r="D257" s="17"/>
      <c r="E257" s="17"/>
      <c r="F257" s="17"/>
      <c r="G257" s="17"/>
      <c r="H257" s="17"/>
      <c r="I257" s="17"/>
    </row>
    <row r="258" spans="1:9">
      <c r="A258" s="17"/>
      <c r="B258" s="17"/>
      <c r="C258" s="17"/>
      <c r="D258" s="17"/>
      <c r="E258" s="17"/>
      <c r="F258" s="17"/>
      <c r="G258" s="17"/>
      <c r="H258" s="17"/>
      <c r="I258" s="17"/>
    </row>
    <row r="259" spans="1:9">
      <c r="A259" s="17"/>
      <c r="B259" s="17"/>
      <c r="C259" s="17"/>
      <c r="D259" s="17"/>
      <c r="E259" s="17"/>
      <c r="F259" s="17"/>
      <c r="G259" s="17"/>
      <c r="H259" s="17"/>
      <c r="I259" s="17"/>
    </row>
    <row r="260" spans="1:9">
      <c r="A260" s="17"/>
      <c r="B260" s="17"/>
      <c r="C260" s="17"/>
      <c r="D260" s="17"/>
      <c r="E260" s="17"/>
      <c r="F260" s="17"/>
      <c r="G260" s="17"/>
      <c r="H260" s="17"/>
      <c r="I260" s="17"/>
    </row>
    <row r="261" spans="1:9">
      <c r="A261" s="17"/>
      <c r="B261" s="17"/>
      <c r="C261" s="17"/>
      <c r="D261" s="17"/>
      <c r="E261" s="17"/>
      <c r="F261" s="17"/>
      <c r="G261" s="17"/>
      <c r="H261" s="17"/>
      <c r="I261" s="17"/>
    </row>
    <row r="262" spans="1:9">
      <c r="A262" s="17"/>
      <c r="B262" s="17"/>
      <c r="C262" s="17"/>
      <c r="D262" s="17"/>
      <c r="E262" s="17"/>
      <c r="F262" s="17"/>
      <c r="G262" s="17"/>
      <c r="H262" s="17"/>
      <c r="I262" s="17"/>
    </row>
    <row r="263" spans="1:9">
      <c r="A263" s="17"/>
      <c r="B263" s="17"/>
      <c r="C263" s="17"/>
      <c r="D263" s="17"/>
      <c r="E263" s="17"/>
      <c r="F263" s="17"/>
      <c r="G263" s="17"/>
      <c r="H263" s="17"/>
      <c r="I263" s="17"/>
    </row>
    <row r="264" spans="1:9">
      <c r="A264" s="17"/>
      <c r="B264" s="17"/>
      <c r="C264" s="17"/>
      <c r="D264" s="17"/>
      <c r="E264" s="17"/>
      <c r="F264" s="17"/>
      <c r="G264" s="17"/>
      <c r="H264" s="17"/>
      <c r="I264" s="17"/>
    </row>
    <row r="265" spans="1:9">
      <c r="A265" s="17"/>
      <c r="B265" s="17"/>
      <c r="C265" s="17"/>
      <c r="D265" s="17"/>
      <c r="E265" s="17"/>
      <c r="F265" s="17"/>
      <c r="G265" s="17"/>
      <c r="H265" s="17"/>
      <c r="I265" s="17"/>
    </row>
    <row r="266" spans="1:9">
      <c r="A266" s="17"/>
      <c r="B266" s="17"/>
      <c r="C266" s="17"/>
      <c r="D266" s="17"/>
      <c r="E266" s="17"/>
      <c r="F266" s="17"/>
      <c r="G266" s="17"/>
      <c r="H266" s="17"/>
      <c r="I266" s="17"/>
    </row>
    <row r="267" spans="1:9">
      <c r="A267" s="17"/>
      <c r="B267" s="17"/>
      <c r="C267" s="17"/>
      <c r="D267" s="17"/>
      <c r="E267" s="17"/>
      <c r="F267" s="17"/>
      <c r="G267" s="17"/>
      <c r="H267" s="17"/>
      <c r="I267" s="17"/>
    </row>
    <row r="268" spans="1:9">
      <c r="A268" s="17"/>
      <c r="B268" s="17"/>
      <c r="C268" s="17"/>
      <c r="D268" s="17"/>
      <c r="E268" s="17"/>
      <c r="F268" s="17"/>
      <c r="G268" s="17"/>
      <c r="H268" s="17"/>
      <c r="I268" s="17"/>
    </row>
    <row r="269" spans="1:9">
      <c r="A269" s="17"/>
      <c r="B269" s="17"/>
      <c r="C269" s="17"/>
      <c r="D269" s="17"/>
      <c r="E269" s="17"/>
      <c r="F269" s="17"/>
      <c r="G269" s="17"/>
      <c r="H269" s="17"/>
      <c r="I269" s="17"/>
    </row>
    <row r="270" spans="1:9">
      <c r="A270" s="17"/>
      <c r="B270" s="17"/>
      <c r="C270" s="17"/>
      <c r="D270" s="17"/>
      <c r="E270" s="17"/>
      <c r="F270" s="17"/>
      <c r="G270" s="17"/>
      <c r="H270" s="17"/>
      <c r="I270" s="17"/>
    </row>
    <row r="271" spans="1:9">
      <c r="A271" s="17"/>
      <c r="B271" s="17"/>
      <c r="C271" s="17"/>
      <c r="D271" s="17"/>
      <c r="E271" s="17"/>
      <c r="F271" s="17"/>
      <c r="G271" s="17"/>
      <c r="H271" s="17"/>
      <c r="I271" s="17"/>
    </row>
    <row r="272" spans="1:9">
      <c r="A272" s="17"/>
      <c r="B272" s="17"/>
      <c r="C272" s="17"/>
      <c r="D272" s="17"/>
      <c r="E272" s="17"/>
      <c r="F272" s="17"/>
      <c r="G272" s="17"/>
      <c r="H272" s="17"/>
      <c r="I272" s="17"/>
    </row>
    <row r="273" spans="1:9">
      <c r="A273" s="17"/>
      <c r="B273" s="17"/>
      <c r="C273" s="17"/>
      <c r="D273" s="17"/>
      <c r="E273" s="17"/>
      <c r="F273" s="17"/>
      <c r="G273" s="17"/>
      <c r="H273" s="17"/>
      <c r="I273" s="17"/>
    </row>
    <row r="274" spans="1:9">
      <c r="A274" s="17"/>
      <c r="B274" s="17"/>
      <c r="C274" s="17"/>
      <c r="D274" s="17"/>
      <c r="E274" s="17"/>
      <c r="F274" s="17"/>
      <c r="G274" s="17"/>
      <c r="H274" s="17"/>
      <c r="I274" s="17"/>
    </row>
    <row r="275" spans="1:9">
      <c r="A275" s="17"/>
      <c r="B275" s="17"/>
      <c r="C275" s="17"/>
      <c r="D275" s="17"/>
      <c r="E275" s="17"/>
      <c r="F275" s="17"/>
      <c r="G275" s="17"/>
      <c r="H275" s="17"/>
      <c r="I275" s="17"/>
    </row>
    <row r="276" spans="1:9">
      <c r="A276" s="17"/>
      <c r="B276" s="17"/>
      <c r="C276" s="17"/>
      <c r="D276" s="17"/>
      <c r="E276" s="17"/>
      <c r="F276" s="17"/>
      <c r="G276" s="17"/>
      <c r="H276" s="17"/>
      <c r="I276" s="17"/>
    </row>
    <row r="277" spans="1:9">
      <c r="A277" s="17"/>
      <c r="B277" s="17"/>
      <c r="C277" s="17"/>
      <c r="D277" s="17"/>
      <c r="E277" s="17"/>
      <c r="F277" s="17"/>
      <c r="G277" s="17"/>
      <c r="H277" s="17"/>
      <c r="I277" s="17"/>
    </row>
    <row r="278" spans="1:9">
      <c r="A278" s="17"/>
      <c r="B278" s="17"/>
      <c r="C278" s="17"/>
      <c r="D278" s="17"/>
      <c r="E278" s="17"/>
      <c r="F278" s="17"/>
      <c r="G278" s="17"/>
      <c r="H278" s="17"/>
      <c r="I278" s="17"/>
    </row>
    <row r="279" spans="1:9">
      <c r="A279" s="17"/>
      <c r="B279" s="17"/>
      <c r="C279" s="17"/>
      <c r="D279" s="17"/>
      <c r="E279" s="17"/>
      <c r="F279" s="17"/>
      <c r="G279" s="17"/>
      <c r="H279" s="17"/>
      <c r="I279" s="17"/>
    </row>
    <row r="280" spans="1:9">
      <c r="A280" s="17"/>
      <c r="B280" s="17"/>
      <c r="C280" s="17"/>
      <c r="D280" s="17"/>
      <c r="E280" s="17"/>
      <c r="F280" s="17"/>
      <c r="G280" s="17"/>
      <c r="H280" s="17"/>
      <c r="I280" s="17"/>
    </row>
    <row r="281" spans="1:9">
      <c r="A281" s="17"/>
      <c r="B281" s="17"/>
      <c r="C281" s="17"/>
      <c r="D281" s="17"/>
      <c r="E281" s="17"/>
      <c r="F281" s="17"/>
      <c r="G281" s="17"/>
      <c r="H281" s="17"/>
      <c r="I281" s="17"/>
    </row>
    <row r="282" spans="1:9">
      <c r="A282" s="17"/>
      <c r="B282" s="17"/>
      <c r="C282" s="17"/>
      <c r="D282" s="17"/>
      <c r="E282" s="17"/>
      <c r="F282" s="17"/>
      <c r="G282" s="17"/>
      <c r="H282" s="17"/>
      <c r="I282" s="17"/>
    </row>
    <row r="283" spans="1:9">
      <c r="A283" s="17"/>
      <c r="B283" s="17"/>
      <c r="C283" s="17"/>
      <c r="D283" s="17"/>
      <c r="E283" s="17"/>
      <c r="F283" s="17"/>
      <c r="G283" s="17"/>
      <c r="H283" s="17"/>
      <c r="I283" s="17"/>
    </row>
    <row r="284" spans="1:9">
      <c r="A284" s="17"/>
      <c r="B284" s="17"/>
      <c r="C284" s="17"/>
      <c r="D284" s="17"/>
      <c r="E284" s="17"/>
      <c r="F284" s="17"/>
      <c r="G284" s="17"/>
      <c r="H284" s="17"/>
      <c r="I284" s="17"/>
    </row>
    <row r="285" spans="1:9">
      <c r="A285" s="17"/>
      <c r="B285" s="17"/>
      <c r="C285" s="17"/>
      <c r="D285" s="17"/>
      <c r="E285" s="17"/>
      <c r="F285" s="17"/>
      <c r="G285" s="17"/>
      <c r="H285" s="17"/>
      <c r="I285" s="17"/>
    </row>
    <row r="286" spans="1:9">
      <c r="A286" s="17"/>
      <c r="B286" s="17"/>
      <c r="C286" s="17"/>
      <c r="D286" s="17"/>
      <c r="E286" s="17"/>
      <c r="F286" s="17"/>
      <c r="G286" s="17"/>
      <c r="H286" s="17"/>
      <c r="I286" s="17"/>
    </row>
    <row r="287" spans="1:9">
      <c r="A287" s="17"/>
      <c r="B287" s="17"/>
      <c r="C287" s="17"/>
      <c r="D287" s="17"/>
      <c r="E287" s="17"/>
      <c r="F287" s="17"/>
      <c r="G287" s="17"/>
      <c r="H287" s="17"/>
      <c r="I287" s="17"/>
    </row>
    <row r="288" spans="1:9">
      <c r="A288" s="17"/>
      <c r="B288" s="17"/>
      <c r="C288" s="17"/>
      <c r="D288" s="17"/>
      <c r="E288" s="17"/>
      <c r="F288" s="17"/>
      <c r="G288" s="17"/>
      <c r="H288" s="17"/>
      <c r="I288" s="17"/>
    </row>
    <row r="289" spans="1:9">
      <c r="A289" s="17"/>
      <c r="B289" s="17"/>
      <c r="C289" s="17"/>
      <c r="D289" s="17"/>
      <c r="E289" s="17"/>
      <c r="F289" s="17"/>
      <c r="G289" s="17"/>
      <c r="H289" s="17"/>
      <c r="I289" s="17"/>
    </row>
    <row r="290" spans="1:9">
      <c r="A290" s="17"/>
      <c r="B290" s="17"/>
      <c r="C290" s="17"/>
      <c r="D290" s="17"/>
      <c r="E290" s="17"/>
      <c r="F290" s="17"/>
      <c r="G290" s="17"/>
      <c r="H290" s="17"/>
      <c r="I290" s="17"/>
    </row>
    <row r="291" spans="1:9">
      <c r="A291" s="17"/>
      <c r="B291" s="17"/>
      <c r="C291" s="17"/>
      <c r="D291" s="17"/>
      <c r="E291" s="17"/>
      <c r="F291" s="17"/>
      <c r="G291" s="17"/>
      <c r="H291" s="17"/>
      <c r="I291" s="17"/>
    </row>
    <row r="292" spans="1:9">
      <c r="A292" s="17"/>
      <c r="B292" s="17"/>
      <c r="C292" s="17"/>
      <c r="D292" s="17"/>
      <c r="E292" s="17"/>
      <c r="F292" s="17"/>
      <c r="G292" s="17"/>
      <c r="H292" s="17"/>
      <c r="I292" s="17"/>
    </row>
    <row r="293" spans="1:9">
      <c r="A293" s="17"/>
      <c r="B293" s="17"/>
      <c r="C293" s="17"/>
      <c r="D293" s="17"/>
      <c r="E293" s="17"/>
      <c r="F293" s="17"/>
      <c r="G293" s="17"/>
      <c r="H293" s="17"/>
      <c r="I293" s="17"/>
    </row>
    <row r="294" spans="1:9">
      <c r="A294" s="17"/>
      <c r="B294" s="17"/>
      <c r="C294" s="17"/>
      <c r="D294" s="17"/>
      <c r="E294" s="17"/>
      <c r="F294" s="17"/>
      <c r="G294" s="17"/>
      <c r="H294" s="17"/>
      <c r="I294" s="17"/>
    </row>
    <row r="295" spans="1:9">
      <c r="A295" s="17"/>
      <c r="B295" s="17"/>
      <c r="C295" s="17"/>
      <c r="D295" s="17"/>
      <c r="E295" s="17"/>
      <c r="F295" s="17"/>
      <c r="G295" s="17"/>
      <c r="H295" s="17"/>
      <c r="I295" s="17"/>
    </row>
    <row r="296" spans="1:9">
      <c r="A296" s="17"/>
      <c r="B296" s="17"/>
      <c r="C296" s="17"/>
      <c r="D296" s="17"/>
      <c r="E296" s="17"/>
      <c r="F296" s="17"/>
      <c r="G296" s="17"/>
      <c r="H296" s="17"/>
      <c r="I296" s="17"/>
    </row>
    <row r="297" spans="1:9">
      <c r="A297" s="17"/>
      <c r="B297" s="17"/>
      <c r="C297" s="17"/>
      <c r="D297" s="17"/>
      <c r="E297" s="17"/>
      <c r="F297" s="17"/>
      <c r="G297" s="17"/>
      <c r="H297" s="17"/>
      <c r="I297" s="17"/>
    </row>
    <row r="298" spans="1:9">
      <c r="A298" s="17"/>
      <c r="B298" s="17"/>
      <c r="C298" s="17"/>
      <c r="D298" s="17"/>
      <c r="E298" s="17"/>
      <c r="F298" s="17"/>
      <c r="G298" s="17"/>
      <c r="H298" s="17"/>
      <c r="I298" s="17"/>
    </row>
    <row r="299" spans="1:9">
      <c r="A299" s="17"/>
      <c r="B299" s="17"/>
      <c r="C299" s="17"/>
      <c r="D299" s="17"/>
      <c r="E299" s="17"/>
      <c r="F299" s="17"/>
      <c r="G299" s="17"/>
      <c r="H299" s="17"/>
      <c r="I299" s="17"/>
    </row>
    <row r="300" spans="1:9">
      <c r="A300" s="17"/>
      <c r="B300" s="17"/>
      <c r="C300" s="17"/>
      <c r="D300" s="17"/>
      <c r="E300" s="17"/>
      <c r="F300" s="17"/>
      <c r="G300" s="17"/>
      <c r="H300" s="17"/>
      <c r="I300" s="17"/>
    </row>
    <row r="301" spans="1:9">
      <c r="A301" s="17"/>
      <c r="B301" s="17"/>
      <c r="C301" s="17"/>
      <c r="D301" s="17"/>
      <c r="E301" s="17"/>
      <c r="F301" s="17"/>
      <c r="G301" s="17"/>
      <c r="H301" s="17"/>
      <c r="I301" s="17"/>
    </row>
    <row r="302" spans="1:9">
      <c r="A302" s="17"/>
      <c r="B302" s="17"/>
      <c r="C302" s="17"/>
      <c r="D302" s="17"/>
      <c r="E302" s="17"/>
      <c r="F302" s="17"/>
      <c r="G302" s="17"/>
      <c r="H302" s="17"/>
      <c r="I302" s="17"/>
    </row>
    <row r="303" spans="1:9">
      <c r="A303" s="17"/>
      <c r="B303" s="17"/>
      <c r="C303" s="17"/>
      <c r="D303" s="17"/>
      <c r="E303" s="17"/>
      <c r="F303" s="17"/>
      <c r="G303" s="17"/>
      <c r="H303" s="17"/>
      <c r="I303" s="17"/>
    </row>
    <row r="304" spans="1:9">
      <c r="A304" s="17"/>
      <c r="B304" s="17"/>
      <c r="C304" s="17"/>
      <c r="D304" s="17"/>
      <c r="E304" s="17"/>
      <c r="F304" s="17"/>
      <c r="G304" s="17"/>
      <c r="H304" s="17"/>
      <c r="I304" s="17"/>
    </row>
    <row r="305" spans="1:9">
      <c r="A305" s="17"/>
      <c r="B305" s="17"/>
      <c r="C305" s="17"/>
      <c r="D305" s="17"/>
      <c r="E305" s="17"/>
      <c r="F305" s="17"/>
      <c r="G305" s="17"/>
      <c r="H305" s="17"/>
      <c r="I305" s="17"/>
    </row>
    <row r="306" spans="1:9">
      <c r="A306" s="17"/>
      <c r="B306" s="17"/>
      <c r="C306" s="17"/>
      <c r="D306" s="17"/>
      <c r="E306" s="17"/>
      <c r="F306" s="17"/>
      <c r="G306" s="17"/>
      <c r="H306" s="17"/>
      <c r="I306" s="17"/>
    </row>
    <row r="307" spans="1:9">
      <c r="A307" s="17"/>
      <c r="B307" s="17"/>
      <c r="C307" s="17"/>
      <c r="D307" s="17"/>
      <c r="E307" s="17"/>
      <c r="F307" s="17"/>
      <c r="G307" s="17"/>
      <c r="H307" s="17"/>
      <c r="I307" s="17"/>
    </row>
    <row r="308" spans="1:9">
      <c r="A308" s="17"/>
      <c r="B308" s="17"/>
      <c r="C308" s="17"/>
      <c r="D308" s="17"/>
      <c r="E308" s="17"/>
      <c r="F308" s="17"/>
      <c r="G308" s="17"/>
      <c r="H308" s="17"/>
      <c r="I308" s="17"/>
    </row>
    <row r="309" spans="1:9">
      <c r="A309" s="17"/>
      <c r="B309" s="17"/>
      <c r="C309" s="17"/>
      <c r="D309" s="17"/>
      <c r="E309" s="17"/>
      <c r="F309" s="17"/>
      <c r="G309" s="17"/>
      <c r="H309" s="17"/>
      <c r="I309" s="17"/>
    </row>
    <row r="310" spans="1:9">
      <c r="A310" s="17"/>
      <c r="B310" s="17"/>
      <c r="C310" s="17"/>
      <c r="D310" s="17"/>
      <c r="E310" s="17"/>
      <c r="F310" s="17"/>
      <c r="G310" s="17"/>
      <c r="H310" s="17"/>
      <c r="I310" s="17"/>
    </row>
    <row r="311" spans="1:9">
      <c r="A311" s="17"/>
      <c r="B311" s="17"/>
      <c r="C311" s="17"/>
      <c r="D311" s="17"/>
      <c r="E311" s="17"/>
      <c r="F311" s="17"/>
      <c r="G311" s="17"/>
      <c r="H311" s="17"/>
      <c r="I311" s="17"/>
    </row>
    <row r="312" spans="1:9">
      <c r="A312" s="17"/>
      <c r="B312" s="17"/>
      <c r="C312" s="17"/>
      <c r="D312" s="17"/>
      <c r="E312" s="17"/>
      <c r="F312" s="17"/>
      <c r="G312" s="17"/>
      <c r="H312" s="17"/>
      <c r="I312" s="17"/>
    </row>
    <row r="313" spans="1:9">
      <c r="A313" s="17"/>
      <c r="B313" s="17"/>
      <c r="C313" s="17"/>
      <c r="D313" s="17"/>
      <c r="E313" s="17"/>
      <c r="F313" s="17"/>
      <c r="G313" s="17"/>
      <c r="H313" s="17"/>
      <c r="I313" s="17"/>
    </row>
    <row r="314" spans="1:9">
      <c r="A314" s="17"/>
      <c r="B314" s="17"/>
      <c r="C314" s="17"/>
      <c r="D314" s="17"/>
      <c r="E314" s="17"/>
      <c r="F314" s="17"/>
      <c r="G314" s="17"/>
      <c r="H314" s="17"/>
      <c r="I314" s="17"/>
    </row>
    <row r="315" spans="1:9">
      <c r="A315" s="17"/>
      <c r="B315" s="17"/>
      <c r="C315" s="17"/>
      <c r="D315" s="17"/>
      <c r="E315" s="17"/>
      <c r="F315" s="17"/>
      <c r="G315" s="17"/>
      <c r="H315" s="17"/>
      <c r="I315" s="17"/>
    </row>
    <row r="316" spans="1:9">
      <c r="A316" s="17"/>
      <c r="B316" s="17"/>
      <c r="C316" s="17"/>
      <c r="D316" s="17"/>
      <c r="E316" s="17"/>
      <c r="F316" s="17"/>
      <c r="G316" s="17"/>
      <c r="H316" s="17"/>
      <c r="I316" s="17"/>
    </row>
    <row r="317" spans="1:9">
      <c r="A317" s="17"/>
      <c r="B317" s="17"/>
      <c r="C317" s="17"/>
      <c r="D317" s="17"/>
      <c r="E317" s="17"/>
      <c r="F317" s="17"/>
      <c r="G317" s="17"/>
      <c r="H317" s="17"/>
      <c r="I317" s="17"/>
    </row>
    <row r="318" spans="1:9">
      <c r="A318" s="17"/>
      <c r="B318" s="17"/>
      <c r="C318" s="17"/>
      <c r="D318" s="17"/>
      <c r="E318" s="17"/>
      <c r="F318" s="17"/>
      <c r="G318" s="17"/>
      <c r="H318" s="17"/>
      <c r="I318" s="17"/>
    </row>
    <row r="319" spans="1:9">
      <c r="A319" s="17"/>
      <c r="B319" s="17"/>
      <c r="C319" s="17"/>
      <c r="D319" s="17"/>
      <c r="E319" s="17"/>
      <c r="F319" s="17"/>
      <c r="G319" s="17"/>
      <c r="H319" s="17"/>
      <c r="I319" s="17"/>
    </row>
    <row r="320" spans="1:9">
      <c r="A320" s="17"/>
      <c r="B320" s="17"/>
      <c r="C320" s="17"/>
      <c r="D320" s="17"/>
      <c r="E320" s="17"/>
      <c r="F320" s="17"/>
      <c r="G320" s="17"/>
      <c r="H320" s="17"/>
      <c r="I320" s="17"/>
    </row>
    <row r="321" spans="1:9">
      <c r="A321" s="17"/>
      <c r="B321" s="17"/>
      <c r="C321" s="17"/>
      <c r="D321" s="17"/>
      <c r="E321" s="17"/>
      <c r="F321" s="17"/>
      <c r="G321" s="17"/>
      <c r="H321" s="17"/>
      <c r="I321" s="17"/>
    </row>
    <row r="322" spans="1:9">
      <c r="A322" s="17"/>
      <c r="B322" s="17"/>
      <c r="C322" s="17"/>
      <c r="D322" s="17"/>
      <c r="E322" s="17"/>
      <c r="F322" s="17"/>
      <c r="G322" s="17"/>
      <c r="H322" s="17"/>
      <c r="I322" s="17"/>
    </row>
    <row r="323" spans="1:9">
      <c r="A323" s="17"/>
      <c r="B323" s="17"/>
      <c r="C323" s="17"/>
      <c r="D323" s="17"/>
      <c r="E323" s="17"/>
      <c r="F323" s="17"/>
      <c r="G323" s="17"/>
      <c r="H323" s="17"/>
      <c r="I323" s="17"/>
    </row>
    <row r="324" spans="1:9">
      <c r="A324" s="17"/>
      <c r="B324" s="17"/>
      <c r="C324" s="17"/>
      <c r="D324" s="17"/>
      <c r="E324" s="17"/>
      <c r="F324" s="17"/>
      <c r="G324" s="17"/>
      <c r="H324" s="17"/>
      <c r="I324" s="17"/>
    </row>
    <row r="325" spans="1:9">
      <c r="A325" s="17"/>
      <c r="B325" s="17"/>
      <c r="C325" s="17"/>
      <c r="D325" s="17"/>
      <c r="E325" s="17"/>
      <c r="F325" s="17"/>
      <c r="G325" s="17"/>
      <c r="H325" s="17"/>
      <c r="I325" s="17"/>
    </row>
    <row r="326" spans="1:9">
      <c r="A326" s="17"/>
      <c r="B326" s="17"/>
      <c r="C326" s="17"/>
      <c r="D326" s="17"/>
      <c r="E326" s="17"/>
      <c r="F326" s="17"/>
      <c r="G326" s="17"/>
      <c r="H326" s="17"/>
      <c r="I326" s="17"/>
    </row>
    <row r="327" spans="1:9">
      <c r="A327" s="17"/>
      <c r="B327" s="17"/>
      <c r="C327" s="17"/>
      <c r="D327" s="17"/>
      <c r="E327" s="17"/>
      <c r="F327" s="17"/>
      <c r="G327" s="17"/>
      <c r="H327" s="17"/>
      <c r="I327" s="17"/>
    </row>
    <row r="328" spans="1:9">
      <c r="A328" s="17"/>
      <c r="B328" s="17"/>
      <c r="C328" s="17"/>
      <c r="D328" s="17"/>
      <c r="E328" s="17"/>
      <c r="F328" s="17"/>
      <c r="G328" s="17"/>
      <c r="H328" s="17"/>
      <c r="I328" s="17"/>
    </row>
    <row r="329" spans="1:9">
      <c r="A329" s="17"/>
      <c r="B329" s="17"/>
      <c r="C329" s="17"/>
      <c r="D329" s="17"/>
      <c r="E329" s="17"/>
      <c r="F329" s="17"/>
      <c r="G329" s="17"/>
      <c r="H329" s="17"/>
      <c r="I329" s="17"/>
    </row>
    <row r="330" spans="1:9">
      <c r="A330" s="17"/>
      <c r="B330" s="17"/>
      <c r="C330" s="17"/>
      <c r="D330" s="17"/>
      <c r="E330" s="17"/>
      <c r="F330" s="17"/>
      <c r="G330" s="17"/>
      <c r="H330" s="17"/>
      <c r="I330" s="17"/>
    </row>
    <row r="331" spans="1:9">
      <c r="A331" s="17"/>
      <c r="B331" s="17"/>
      <c r="C331" s="17"/>
      <c r="D331" s="17"/>
      <c r="E331" s="17"/>
      <c r="F331" s="17"/>
      <c r="G331" s="17"/>
      <c r="H331" s="17"/>
      <c r="I331" s="17"/>
    </row>
    <row r="332" spans="1:9">
      <c r="A332" s="17"/>
      <c r="B332" s="17"/>
      <c r="C332" s="17"/>
      <c r="D332" s="17"/>
      <c r="E332" s="17"/>
      <c r="F332" s="17"/>
      <c r="G332" s="17"/>
      <c r="H332" s="17"/>
      <c r="I332" s="17"/>
    </row>
    <row r="333" spans="1:9">
      <c r="A333" s="17"/>
      <c r="B333" s="17"/>
      <c r="C333" s="17"/>
      <c r="D333" s="17"/>
      <c r="E333" s="17"/>
      <c r="F333" s="17"/>
      <c r="G333" s="17"/>
      <c r="H333" s="17"/>
      <c r="I333" s="17"/>
    </row>
    <row r="334" spans="1:9">
      <c r="A334" s="17"/>
      <c r="B334" s="17"/>
      <c r="C334" s="17"/>
      <c r="D334" s="17"/>
      <c r="E334" s="17"/>
      <c r="F334" s="17"/>
      <c r="G334" s="17"/>
      <c r="H334" s="17"/>
      <c r="I334" s="17"/>
    </row>
    <row r="335" spans="1:9">
      <c r="A335" s="17"/>
      <c r="B335" s="17"/>
      <c r="C335" s="17"/>
      <c r="D335" s="17"/>
      <c r="E335" s="17"/>
      <c r="F335" s="17"/>
      <c r="G335" s="17"/>
      <c r="H335" s="17"/>
      <c r="I335" s="17"/>
    </row>
    <row r="336" spans="1:9">
      <c r="A336" s="17"/>
      <c r="B336" s="17"/>
      <c r="C336" s="17"/>
      <c r="D336" s="17"/>
      <c r="E336" s="17"/>
      <c r="F336" s="17"/>
      <c r="G336" s="17"/>
      <c r="H336" s="17"/>
      <c r="I336" s="17"/>
    </row>
    <row r="337" spans="1:9">
      <c r="A337" s="17"/>
      <c r="B337" s="17"/>
      <c r="C337" s="17"/>
      <c r="D337" s="17"/>
      <c r="E337" s="17"/>
      <c r="F337" s="17"/>
      <c r="G337" s="17"/>
      <c r="H337" s="17"/>
      <c r="I337" s="17"/>
    </row>
    <row r="338" spans="1:9">
      <c r="A338" s="17"/>
      <c r="B338" s="17"/>
      <c r="C338" s="17"/>
      <c r="D338" s="17"/>
      <c r="E338" s="17"/>
      <c r="F338" s="17"/>
      <c r="G338" s="17"/>
      <c r="H338" s="17"/>
      <c r="I338" s="17"/>
    </row>
    <row r="339" spans="1:9">
      <c r="A339" s="17"/>
      <c r="B339" s="17"/>
      <c r="C339" s="17"/>
      <c r="D339" s="17"/>
      <c r="E339" s="17"/>
      <c r="F339" s="17"/>
      <c r="G339" s="17"/>
      <c r="H339" s="17"/>
      <c r="I339" s="17"/>
    </row>
    <row r="340" spans="1:9">
      <c r="A340" s="17"/>
      <c r="B340" s="17"/>
      <c r="C340" s="17"/>
      <c r="D340" s="17"/>
      <c r="E340" s="17"/>
      <c r="F340" s="17"/>
      <c r="G340" s="17"/>
      <c r="H340" s="17"/>
      <c r="I340" s="17"/>
    </row>
    <row r="341" spans="1:9">
      <c r="A341" s="17"/>
      <c r="B341" s="17"/>
      <c r="C341" s="17"/>
      <c r="D341" s="17"/>
      <c r="E341" s="17"/>
      <c r="F341" s="17"/>
      <c r="G341" s="17"/>
      <c r="H341" s="17"/>
      <c r="I341" s="17"/>
    </row>
    <row r="342" spans="1:9">
      <c r="A342" s="17"/>
      <c r="B342" s="17"/>
      <c r="C342" s="17"/>
      <c r="D342" s="17"/>
      <c r="E342" s="17"/>
      <c r="F342" s="17"/>
      <c r="G342" s="17"/>
      <c r="H342" s="17"/>
      <c r="I342" s="17"/>
    </row>
    <row r="343" spans="1:9">
      <c r="A343" s="17"/>
      <c r="B343" s="17"/>
      <c r="C343" s="17"/>
      <c r="D343" s="17"/>
      <c r="E343" s="17"/>
      <c r="F343" s="17"/>
      <c r="G343" s="17"/>
      <c r="H343" s="17"/>
      <c r="I343" s="17"/>
    </row>
    <row r="344" spans="1:9">
      <c r="A344" s="17"/>
      <c r="B344" s="17"/>
      <c r="C344" s="17"/>
      <c r="D344" s="17"/>
      <c r="E344" s="17"/>
      <c r="F344" s="17"/>
      <c r="G344" s="17"/>
      <c r="H344" s="17"/>
      <c r="I344" s="17"/>
    </row>
    <row r="345" spans="1:9">
      <c r="A345" s="17"/>
      <c r="B345" s="17"/>
      <c r="C345" s="17"/>
      <c r="D345" s="17"/>
      <c r="E345" s="17"/>
      <c r="F345" s="17"/>
      <c r="G345" s="17"/>
      <c r="H345" s="17"/>
      <c r="I345" s="17"/>
    </row>
    <row r="346" spans="1:9">
      <c r="A346" s="17"/>
      <c r="B346" s="17"/>
      <c r="C346" s="17"/>
      <c r="D346" s="17"/>
      <c r="E346" s="17"/>
      <c r="F346" s="17"/>
      <c r="G346" s="17"/>
      <c r="H346" s="17"/>
      <c r="I346" s="17"/>
    </row>
    <row r="347" spans="1:9">
      <c r="A347" s="17"/>
      <c r="B347" s="17"/>
      <c r="C347" s="17"/>
      <c r="D347" s="17"/>
      <c r="E347" s="17"/>
      <c r="F347" s="17"/>
      <c r="G347" s="17"/>
      <c r="H347" s="17"/>
      <c r="I347" s="17"/>
    </row>
    <row r="348" spans="1:9">
      <c r="A348" s="17"/>
      <c r="B348" s="17"/>
      <c r="C348" s="17"/>
      <c r="D348" s="17"/>
      <c r="E348" s="17"/>
      <c r="F348" s="17"/>
      <c r="G348" s="17"/>
      <c r="H348" s="17"/>
      <c r="I348" s="17"/>
    </row>
    <row r="349" spans="1:9">
      <c r="A349" s="17"/>
      <c r="B349" s="17"/>
      <c r="C349" s="17"/>
      <c r="D349" s="17"/>
      <c r="E349" s="17"/>
      <c r="F349" s="17"/>
      <c r="G349" s="17"/>
      <c r="H349" s="17"/>
      <c r="I349" s="17"/>
    </row>
    <row r="350" spans="1:9">
      <c r="A350" s="17"/>
      <c r="B350" s="17"/>
      <c r="C350" s="17"/>
      <c r="D350" s="17"/>
      <c r="E350" s="17"/>
      <c r="F350" s="17"/>
      <c r="G350" s="17"/>
      <c r="H350" s="17"/>
      <c r="I350" s="17"/>
    </row>
    <row r="351" spans="1:9">
      <c r="A351" s="17"/>
      <c r="B351" s="17"/>
      <c r="C351" s="17"/>
      <c r="D351" s="17"/>
      <c r="E351" s="17"/>
      <c r="F351" s="17"/>
      <c r="G351" s="17"/>
      <c r="H351" s="17"/>
      <c r="I351" s="17"/>
    </row>
    <row r="352" spans="1:9">
      <c r="A352" s="17"/>
      <c r="B352" s="17"/>
      <c r="C352" s="17"/>
      <c r="D352" s="17"/>
      <c r="E352" s="17"/>
      <c r="F352" s="17"/>
      <c r="G352" s="17"/>
      <c r="H352" s="17"/>
      <c r="I352" s="17"/>
    </row>
    <row r="353" spans="1:9">
      <c r="A353" s="17"/>
      <c r="B353" s="17"/>
      <c r="C353" s="17"/>
      <c r="D353" s="17"/>
      <c r="E353" s="17"/>
      <c r="F353" s="17"/>
      <c r="G353" s="17"/>
      <c r="H353" s="17"/>
      <c r="I353" s="17"/>
    </row>
    <row r="354" spans="1:9">
      <c r="A354" s="17"/>
      <c r="B354" s="17"/>
      <c r="C354" s="17"/>
      <c r="D354" s="17"/>
      <c r="E354" s="17"/>
      <c r="F354" s="17"/>
      <c r="G354" s="17"/>
      <c r="H354" s="17"/>
      <c r="I354" s="17"/>
    </row>
    <row r="355" spans="1:9">
      <c r="A355" s="17"/>
      <c r="B355" s="17"/>
      <c r="C355" s="17"/>
      <c r="D355" s="17"/>
      <c r="E355" s="17"/>
      <c r="F355" s="17"/>
      <c r="G355" s="17"/>
      <c r="H355" s="17"/>
      <c r="I355" s="17"/>
    </row>
    <row r="356" spans="1:9">
      <c r="A356" s="17"/>
      <c r="B356" s="17"/>
      <c r="C356" s="17"/>
      <c r="D356" s="17"/>
      <c r="E356" s="17"/>
      <c r="F356" s="17"/>
      <c r="G356" s="17"/>
      <c r="H356" s="17"/>
      <c r="I356" s="17"/>
    </row>
    <row r="357" spans="1:9">
      <c r="A357" s="17"/>
      <c r="B357" s="17"/>
      <c r="C357" s="17"/>
      <c r="D357" s="17"/>
      <c r="E357" s="17"/>
      <c r="F357" s="17"/>
      <c r="G357" s="17"/>
      <c r="H357" s="17"/>
      <c r="I357" s="17"/>
    </row>
    <row r="358" spans="1:9">
      <c r="A358" s="17"/>
      <c r="B358" s="17"/>
      <c r="C358" s="17"/>
      <c r="D358" s="17"/>
      <c r="E358" s="17"/>
      <c r="F358" s="17"/>
      <c r="G358" s="17"/>
      <c r="H358" s="17"/>
      <c r="I358" s="17"/>
    </row>
    <row r="359" spans="1:9">
      <c r="A359" s="17"/>
      <c r="B359" s="17"/>
      <c r="C359" s="17"/>
      <c r="D359" s="17"/>
      <c r="E359" s="17"/>
      <c r="F359" s="17"/>
      <c r="G359" s="17"/>
      <c r="H359" s="17"/>
      <c r="I359" s="17"/>
    </row>
    <row r="360" spans="1:9">
      <c r="A360" s="17"/>
      <c r="B360" s="17"/>
      <c r="C360" s="17"/>
      <c r="D360" s="17"/>
      <c r="E360" s="17"/>
      <c r="F360" s="17"/>
      <c r="G360" s="17"/>
      <c r="H360" s="17"/>
      <c r="I360" s="17"/>
    </row>
    <row r="361" spans="1:9">
      <c r="A361" s="17"/>
      <c r="B361" s="17"/>
      <c r="C361" s="17"/>
      <c r="D361" s="17"/>
      <c r="E361" s="17"/>
      <c r="F361" s="17"/>
      <c r="G361" s="17"/>
      <c r="H361" s="17"/>
      <c r="I361" s="17"/>
    </row>
    <row r="362" spans="1:9">
      <c r="A362" s="17"/>
      <c r="B362" s="17"/>
      <c r="C362" s="17"/>
      <c r="D362" s="17"/>
      <c r="E362" s="17"/>
      <c r="F362" s="17"/>
      <c r="G362" s="17"/>
      <c r="H362" s="17"/>
      <c r="I362" s="17"/>
    </row>
    <row r="363" spans="1:9">
      <c r="A363" s="17"/>
      <c r="B363" s="17"/>
      <c r="C363" s="17"/>
      <c r="D363" s="17"/>
      <c r="E363" s="17"/>
      <c r="F363" s="17"/>
      <c r="G363" s="17"/>
      <c r="H363" s="17"/>
      <c r="I363" s="17"/>
    </row>
    <row r="364" spans="1:9">
      <c r="A364" s="17"/>
      <c r="B364" s="17"/>
      <c r="C364" s="17"/>
      <c r="D364" s="17"/>
      <c r="E364" s="17"/>
      <c r="F364" s="17"/>
      <c r="G364" s="17"/>
      <c r="H364" s="17"/>
      <c r="I364" s="17"/>
    </row>
    <row r="365" spans="1:9">
      <c r="A365" s="17"/>
      <c r="B365" s="17"/>
      <c r="C365" s="17"/>
      <c r="D365" s="17"/>
      <c r="E365" s="17"/>
      <c r="F365" s="17"/>
      <c r="G365" s="17"/>
      <c r="H365" s="17"/>
      <c r="I365" s="17"/>
    </row>
    <row r="366" spans="1:9">
      <c r="A366" s="17"/>
      <c r="B366" s="17"/>
      <c r="C366" s="17"/>
      <c r="D366" s="17"/>
      <c r="E366" s="17"/>
      <c r="F366" s="17"/>
      <c r="G366" s="17"/>
      <c r="H366" s="17"/>
      <c r="I366" s="17"/>
    </row>
    <row r="367" spans="1:9">
      <c r="A367" s="17"/>
      <c r="B367" s="17"/>
      <c r="C367" s="17"/>
      <c r="D367" s="17"/>
      <c r="E367" s="17"/>
      <c r="F367" s="17"/>
      <c r="G367" s="17"/>
      <c r="H367" s="17"/>
      <c r="I367" s="17"/>
    </row>
    <row r="368" spans="1:9">
      <c r="A368" s="17"/>
      <c r="B368" s="17"/>
      <c r="C368" s="17"/>
      <c r="D368" s="17"/>
      <c r="E368" s="17"/>
      <c r="F368" s="17"/>
      <c r="G368" s="17"/>
      <c r="H368" s="17"/>
      <c r="I368" s="17"/>
    </row>
    <row r="369" spans="1:9">
      <c r="A369" s="17"/>
      <c r="B369" s="17"/>
      <c r="C369" s="17"/>
      <c r="D369" s="17"/>
      <c r="E369" s="17"/>
      <c r="F369" s="17"/>
      <c r="G369" s="17"/>
      <c r="H369" s="17"/>
      <c r="I369" s="17"/>
    </row>
    <row r="370" spans="1:9">
      <c r="A370" s="17"/>
      <c r="B370" s="17"/>
      <c r="C370" s="17"/>
      <c r="D370" s="17"/>
      <c r="E370" s="17"/>
      <c r="F370" s="17"/>
      <c r="G370" s="17"/>
      <c r="H370" s="17"/>
      <c r="I370" s="17"/>
    </row>
    <row r="371" spans="1:9">
      <c r="A371" s="17"/>
      <c r="B371" s="17"/>
      <c r="C371" s="17"/>
      <c r="D371" s="17"/>
      <c r="E371" s="17"/>
      <c r="F371" s="17"/>
      <c r="G371" s="17"/>
      <c r="H371" s="17"/>
      <c r="I371" s="17"/>
    </row>
    <row r="372" spans="1:9">
      <c r="A372" s="17"/>
      <c r="B372" s="17"/>
      <c r="C372" s="17"/>
      <c r="D372" s="17"/>
      <c r="E372" s="17"/>
      <c r="F372" s="17"/>
      <c r="G372" s="17"/>
      <c r="H372" s="17"/>
      <c r="I372" s="17"/>
    </row>
    <row r="373" spans="1:9">
      <c r="A373" s="17"/>
      <c r="B373" s="17"/>
      <c r="C373" s="17"/>
      <c r="D373" s="17"/>
      <c r="E373" s="17"/>
      <c r="F373" s="17"/>
      <c r="G373" s="17"/>
      <c r="H373" s="17"/>
      <c r="I373" s="17"/>
    </row>
    <row r="374" spans="1:9">
      <c r="A374" s="17"/>
      <c r="B374" s="17"/>
      <c r="C374" s="17"/>
      <c r="D374" s="17"/>
      <c r="E374" s="17"/>
      <c r="F374" s="17"/>
      <c r="G374" s="17"/>
      <c r="H374" s="17"/>
      <c r="I374" s="17"/>
    </row>
    <row r="375" spans="1:9">
      <c r="A375" s="17"/>
      <c r="B375" s="17"/>
      <c r="C375" s="17"/>
      <c r="D375" s="17"/>
      <c r="E375" s="17"/>
      <c r="F375" s="17"/>
      <c r="G375" s="17"/>
      <c r="H375" s="17"/>
      <c r="I375" s="17"/>
    </row>
    <row r="376" spans="1:9">
      <c r="A376" s="17"/>
      <c r="B376" s="17"/>
      <c r="C376" s="17"/>
      <c r="D376" s="17"/>
      <c r="E376" s="17"/>
      <c r="F376" s="17"/>
      <c r="G376" s="17"/>
      <c r="H376" s="17"/>
      <c r="I376" s="17"/>
    </row>
    <row r="377" spans="1:9">
      <c r="A377" s="17"/>
      <c r="B377" s="17"/>
      <c r="C377" s="17"/>
      <c r="D377" s="17"/>
      <c r="E377" s="17"/>
      <c r="F377" s="17"/>
      <c r="G377" s="17"/>
      <c r="H377" s="17"/>
      <c r="I377" s="17"/>
    </row>
    <row r="378" spans="1:9">
      <c r="A378" s="17"/>
      <c r="B378" s="17"/>
      <c r="C378" s="17"/>
      <c r="D378" s="17"/>
      <c r="E378" s="17"/>
      <c r="F378" s="17"/>
      <c r="G378" s="17"/>
      <c r="H378" s="17"/>
      <c r="I378" s="17"/>
    </row>
    <row r="379" spans="1:9">
      <c r="A379" s="17"/>
      <c r="B379" s="17"/>
      <c r="C379" s="17"/>
      <c r="D379" s="17"/>
      <c r="E379" s="17"/>
      <c r="F379" s="17"/>
      <c r="G379" s="17"/>
      <c r="H379" s="17"/>
      <c r="I379" s="17"/>
    </row>
    <row r="380" spans="1:9">
      <c r="A380" s="17"/>
      <c r="B380" s="17"/>
      <c r="C380" s="17"/>
      <c r="D380" s="17"/>
      <c r="E380" s="17"/>
      <c r="F380" s="17"/>
      <c r="G380" s="17"/>
      <c r="H380" s="17"/>
      <c r="I380" s="17"/>
    </row>
    <row r="381" spans="1:9">
      <c r="A381" s="17"/>
      <c r="B381" s="17"/>
      <c r="C381" s="17"/>
      <c r="D381" s="17"/>
      <c r="E381" s="17"/>
      <c r="F381" s="17"/>
      <c r="G381" s="17"/>
      <c r="H381" s="17"/>
      <c r="I381" s="17"/>
    </row>
    <row r="382" spans="1:9">
      <c r="A382" s="17"/>
      <c r="B382" s="17"/>
      <c r="C382" s="17"/>
      <c r="D382" s="17"/>
      <c r="E382" s="17"/>
      <c r="F382" s="17"/>
      <c r="G382" s="17"/>
      <c r="H382" s="17"/>
      <c r="I382" s="17"/>
    </row>
    <row r="383" spans="1:9">
      <c r="A383" s="17"/>
      <c r="B383" s="17"/>
      <c r="C383" s="17"/>
      <c r="D383" s="17"/>
      <c r="E383" s="17"/>
      <c r="F383" s="17"/>
      <c r="G383" s="17"/>
      <c r="H383" s="17"/>
      <c r="I383" s="17"/>
    </row>
    <row r="384" spans="1:9">
      <c r="A384" s="17"/>
      <c r="B384" s="17"/>
      <c r="C384" s="17"/>
      <c r="D384" s="17"/>
      <c r="E384" s="17"/>
      <c r="F384" s="17"/>
      <c r="G384" s="17"/>
      <c r="H384" s="17"/>
      <c r="I384" s="17"/>
    </row>
    <row r="385" spans="1:9">
      <c r="A385" s="17"/>
      <c r="B385" s="17"/>
      <c r="C385" s="17"/>
      <c r="D385" s="17"/>
      <c r="E385" s="17"/>
      <c r="F385" s="17"/>
      <c r="G385" s="17"/>
      <c r="H385" s="17"/>
      <c r="I385" s="17"/>
    </row>
    <row r="386" spans="1:9">
      <c r="A386" s="17"/>
      <c r="B386" s="17"/>
      <c r="C386" s="17"/>
      <c r="D386" s="17"/>
      <c r="E386" s="17"/>
      <c r="F386" s="17"/>
      <c r="G386" s="17"/>
      <c r="H386" s="17"/>
      <c r="I386" s="17"/>
    </row>
    <row r="387" spans="1:9">
      <c r="A387" s="17"/>
      <c r="B387" s="17"/>
      <c r="C387" s="17"/>
      <c r="D387" s="17"/>
      <c r="E387" s="17"/>
      <c r="F387" s="17"/>
      <c r="G387" s="17"/>
      <c r="H387" s="17"/>
      <c r="I387" s="17"/>
    </row>
    <row r="388" spans="1:9">
      <c r="A388" s="17"/>
      <c r="B388" s="17"/>
      <c r="C388" s="17"/>
      <c r="D388" s="17"/>
      <c r="E388" s="17"/>
      <c r="F388" s="17"/>
      <c r="G388" s="17"/>
      <c r="H388" s="17"/>
      <c r="I388" s="17"/>
    </row>
    <row r="389" spans="1:9">
      <c r="A389" s="17"/>
      <c r="B389" s="17"/>
      <c r="C389" s="17"/>
      <c r="D389" s="17"/>
      <c r="E389" s="17"/>
      <c r="F389" s="17"/>
      <c r="G389" s="17"/>
      <c r="H389" s="17"/>
      <c r="I389" s="17"/>
    </row>
    <row r="390" spans="1:9">
      <c r="A390" s="17"/>
      <c r="B390" s="17"/>
      <c r="C390" s="17"/>
      <c r="D390" s="17"/>
      <c r="E390" s="17"/>
      <c r="F390" s="17"/>
      <c r="G390" s="17"/>
      <c r="H390" s="17"/>
      <c r="I390" s="17"/>
    </row>
    <row r="391" spans="1:9">
      <c r="A391" s="17"/>
      <c r="B391" s="17"/>
      <c r="C391" s="17"/>
      <c r="D391" s="17"/>
      <c r="E391" s="17"/>
      <c r="F391" s="17"/>
      <c r="G391" s="17"/>
      <c r="H391" s="17"/>
      <c r="I391" s="17"/>
    </row>
    <row r="392" spans="1:9">
      <c r="A392" s="17"/>
      <c r="B392" s="17"/>
      <c r="C392" s="17"/>
      <c r="D392" s="17"/>
      <c r="E392" s="17"/>
      <c r="F392" s="17"/>
      <c r="G392" s="17"/>
      <c r="H392" s="17"/>
      <c r="I392" s="17"/>
    </row>
    <row r="393" spans="1:9">
      <c r="A393" s="17"/>
      <c r="B393" s="17"/>
      <c r="C393" s="17"/>
      <c r="D393" s="17"/>
      <c r="E393" s="17"/>
      <c r="F393" s="17"/>
      <c r="G393" s="17"/>
      <c r="H393" s="17"/>
      <c r="I393" s="17"/>
    </row>
    <row r="394" spans="1:9">
      <c r="A394" s="17"/>
      <c r="B394" s="17"/>
      <c r="C394" s="17"/>
      <c r="D394" s="17"/>
      <c r="E394" s="17"/>
      <c r="F394" s="17"/>
      <c r="G394" s="17"/>
      <c r="H394" s="17"/>
      <c r="I394" s="17"/>
    </row>
    <row r="395" spans="1:9">
      <c r="A395" s="17"/>
      <c r="B395" s="17"/>
      <c r="C395" s="17"/>
      <c r="D395" s="17"/>
      <c r="E395" s="17"/>
      <c r="F395" s="17"/>
      <c r="G395" s="17"/>
      <c r="H395" s="17"/>
      <c r="I395" s="17"/>
    </row>
    <row r="396" spans="1:9">
      <c r="A396" s="17"/>
      <c r="B396" s="17"/>
      <c r="C396" s="17"/>
      <c r="D396" s="17"/>
      <c r="E396" s="17"/>
      <c r="F396" s="17"/>
      <c r="G396" s="17"/>
      <c r="H396" s="17"/>
      <c r="I396" s="17"/>
    </row>
    <row r="397" spans="1:9">
      <c r="A397" s="17"/>
      <c r="B397" s="17"/>
      <c r="C397" s="17"/>
      <c r="D397" s="17"/>
      <c r="E397" s="17"/>
      <c r="F397" s="17"/>
      <c r="G397" s="17"/>
      <c r="H397" s="17"/>
      <c r="I397" s="17"/>
    </row>
    <row r="398" spans="1:9">
      <c r="A398" s="17"/>
      <c r="B398" s="17"/>
      <c r="C398" s="17"/>
      <c r="D398" s="17"/>
      <c r="E398" s="17"/>
      <c r="F398" s="17"/>
      <c r="G398" s="17"/>
      <c r="H398" s="17"/>
      <c r="I398" s="17"/>
    </row>
    <row r="399" spans="1:9">
      <c r="A399" s="17"/>
      <c r="B399" s="17"/>
      <c r="C399" s="17"/>
      <c r="D399" s="17"/>
      <c r="E399" s="17"/>
      <c r="F399" s="17"/>
      <c r="G399" s="17"/>
      <c r="H399" s="17"/>
      <c r="I399" s="17"/>
    </row>
    <row r="400" spans="1:9">
      <c r="A400" s="17"/>
      <c r="B400" s="17"/>
      <c r="C400" s="17"/>
      <c r="D400" s="17"/>
      <c r="E400" s="17"/>
      <c r="F400" s="17"/>
      <c r="G400" s="17"/>
      <c r="H400" s="17"/>
      <c r="I400" s="17"/>
    </row>
    <row r="401" spans="1:9">
      <c r="A401" s="17"/>
      <c r="B401" s="17"/>
      <c r="C401" s="17"/>
      <c r="D401" s="17"/>
      <c r="E401" s="17"/>
      <c r="F401" s="17"/>
      <c r="G401" s="17"/>
      <c r="H401" s="17"/>
      <c r="I401" s="17"/>
    </row>
    <row r="402" spans="1:9">
      <c r="A402" s="17"/>
      <c r="B402" s="17"/>
      <c r="C402" s="17"/>
      <c r="D402" s="17"/>
      <c r="E402" s="17"/>
      <c r="F402" s="17"/>
      <c r="G402" s="17"/>
      <c r="H402" s="17"/>
      <c r="I402" s="17"/>
    </row>
    <row r="403" spans="1:9">
      <c r="A403" s="17"/>
      <c r="B403" s="17"/>
      <c r="C403" s="17"/>
      <c r="D403" s="17"/>
      <c r="E403" s="17"/>
      <c r="F403" s="17"/>
      <c r="G403" s="17"/>
      <c r="H403" s="17"/>
      <c r="I403" s="17"/>
    </row>
    <row r="404" spans="1:9">
      <c r="A404" s="17"/>
      <c r="B404" s="17"/>
      <c r="C404" s="17"/>
      <c r="D404" s="17"/>
      <c r="E404" s="17"/>
      <c r="F404" s="17"/>
      <c r="G404" s="17"/>
      <c r="H404" s="17"/>
      <c r="I404" s="17"/>
    </row>
    <row r="405" spans="1:9">
      <c r="A405" s="17"/>
      <c r="B405" s="17"/>
      <c r="C405" s="17"/>
      <c r="D405" s="17"/>
      <c r="E405" s="17"/>
      <c r="F405" s="17"/>
      <c r="G405" s="17"/>
      <c r="H405" s="17"/>
      <c r="I405" s="17"/>
    </row>
    <row r="406" spans="1:9">
      <c r="A406" s="17"/>
      <c r="B406" s="17"/>
      <c r="C406" s="17"/>
      <c r="D406" s="17"/>
      <c r="E406" s="17"/>
      <c r="F406" s="17"/>
      <c r="G406" s="17"/>
      <c r="H406" s="17"/>
      <c r="I406" s="17"/>
    </row>
    <row r="407" spans="1:9">
      <c r="A407" s="17"/>
      <c r="B407" s="17"/>
      <c r="C407" s="17"/>
      <c r="D407" s="17"/>
      <c r="E407" s="17"/>
      <c r="F407" s="17"/>
      <c r="G407" s="17"/>
      <c r="H407" s="17"/>
      <c r="I407" s="17"/>
    </row>
    <row r="408" spans="1:9">
      <c r="A408" s="17"/>
      <c r="B408" s="17"/>
      <c r="C408" s="17"/>
      <c r="D408" s="17"/>
      <c r="E408" s="17"/>
      <c r="F408" s="17"/>
      <c r="G408" s="17"/>
      <c r="H408" s="17"/>
      <c r="I408" s="17"/>
    </row>
    <row r="409" spans="1:9">
      <c r="A409" s="17"/>
      <c r="B409" s="17"/>
      <c r="C409" s="17"/>
      <c r="D409" s="17"/>
      <c r="E409" s="17"/>
      <c r="F409" s="17"/>
      <c r="G409" s="17"/>
      <c r="H409" s="17"/>
      <c r="I409" s="17"/>
    </row>
    <row r="410" spans="1:9">
      <c r="A410" s="17"/>
      <c r="B410" s="17"/>
      <c r="C410" s="17"/>
      <c r="D410" s="17"/>
      <c r="E410" s="17"/>
      <c r="F410" s="17"/>
      <c r="G410" s="17"/>
      <c r="H410" s="17"/>
      <c r="I410" s="17"/>
    </row>
    <row r="411" spans="1:9">
      <c r="A411" s="17"/>
      <c r="B411" s="17"/>
      <c r="C411" s="17"/>
      <c r="D411" s="17"/>
      <c r="E411" s="17"/>
      <c r="F411" s="17"/>
      <c r="G411" s="17"/>
      <c r="H411" s="17"/>
      <c r="I411" s="17"/>
    </row>
    <row r="412" spans="1:9">
      <c r="A412" s="17"/>
      <c r="B412" s="17"/>
      <c r="C412" s="17"/>
      <c r="D412" s="17"/>
      <c r="E412" s="17"/>
      <c r="F412" s="17"/>
      <c r="G412" s="17"/>
      <c r="H412" s="17"/>
      <c r="I412" s="17"/>
    </row>
    <row r="413" spans="1:9">
      <c r="A413" s="17"/>
      <c r="B413" s="17"/>
      <c r="C413" s="17"/>
      <c r="D413" s="17"/>
      <c r="E413" s="17"/>
      <c r="F413" s="17"/>
      <c r="G413" s="17"/>
      <c r="H413" s="17"/>
      <c r="I413" s="17"/>
    </row>
    <row r="414" spans="1:9">
      <c r="A414" s="17"/>
      <c r="B414" s="17"/>
      <c r="C414" s="17"/>
      <c r="D414" s="17"/>
      <c r="E414" s="17"/>
      <c r="F414" s="17"/>
      <c r="G414" s="17"/>
      <c r="H414" s="17"/>
      <c r="I414" s="17"/>
    </row>
    <row r="415" spans="1:9">
      <c r="A415" s="17"/>
      <c r="B415" s="17"/>
      <c r="C415" s="17"/>
      <c r="D415" s="17"/>
      <c r="E415" s="17"/>
      <c r="F415" s="17"/>
      <c r="G415" s="17"/>
      <c r="H415" s="17"/>
      <c r="I415" s="17"/>
    </row>
    <row r="416" spans="1:9">
      <c r="A416" s="17"/>
      <c r="B416" s="17"/>
      <c r="C416" s="17"/>
      <c r="D416" s="17"/>
      <c r="E416" s="17"/>
      <c r="F416" s="17"/>
      <c r="G416" s="17"/>
      <c r="H416" s="17"/>
      <c r="I416" s="17"/>
    </row>
    <row r="417" spans="1:9">
      <c r="A417" s="17"/>
      <c r="B417" s="17"/>
      <c r="C417" s="17"/>
      <c r="D417" s="17"/>
      <c r="E417" s="17"/>
      <c r="F417" s="17"/>
      <c r="G417" s="17"/>
      <c r="H417" s="17"/>
      <c r="I417" s="17"/>
    </row>
    <row r="418" spans="1:9">
      <c r="A418" s="17"/>
      <c r="B418" s="17"/>
      <c r="C418" s="17"/>
      <c r="D418" s="17"/>
      <c r="E418" s="17"/>
      <c r="F418" s="17"/>
      <c r="G418" s="17"/>
      <c r="H418" s="17"/>
      <c r="I418" s="17"/>
    </row>
    <row r="419" spans="1:9">
      <c r="A419" s="17"/>
      <c r="B419" s="17"/>
      <c r="C419" s="17"/>
      <c r="D419" s="17"/>
      <c r="E419" s="17"/>
      <c r="F419" s="17"/>
      <c r="G419" s="17"/>
      <c r="H419" s="17"/>
      <c r="I419" s="17"/>
    </row>
    <row r="420" spans="1:9">
      <c r="A420" s="17"/>
      <c r="B420" s="17"/>
      <c r="C420" s="17"/>
      <c r="D420" s="17"/>
      <c r="E420" s="17"/>
      <c r="F420" s="17"/>
      <c r="G420" s="17"/>
      <c r="H420" s="17"/>
      <c r="I420" s="17"/>
    </row>
    <row r="421" spans="1:9">
      <c r="A421" s="17"/>
      <c r="B421" s="17"/>
      <c r="C421" s="17"/>
      <c r="D421" s="17"/>
      <c r="E421" s="17"/>
      <c r="F421" s="17"/>
      <c r="G421" s="17"/>
      <c r="H421" s="17"/>
      <c r="I421" s="17"/>
    </row>
    <row r="422" spans="1:9">
      <c r="A422" s="17"/>
      <c r="B422" s="17"/>
      <c r="C422" s="17"/>
      <c r="D422" s="17"/>
      <c r="E422" s="17"/>
      <c r="F422" s="17"/>
      <c r="G422" s="17"/>
      <c r="H422" s="17"/>
      <c r="I422" s="17"/>
    </row>
    <row r="423" spans="1:9">
      <c r="A423" s="17"/>
      <c r="B423" s="17"/>
      <c r="C423" s="17"/>
      <c r="D423" s="17"/>
      <c r="E423" s="17"/>
      <c r="F423" s="17"/>
      <c r="G423" s="17"/>
      <c r="H423" s="17"/>
      <c r="I423" s="17"/>
    </row>
    <row r="424" spans="1:9">
      <c r="A424" s="17"/>
      <c r="B424" s="17"/>
      <c r="C424" s="17"/>
      <c r="D424" s="17"/>
      <c r="E424" s="17"/>
      <c r="F424" s="17"/>
      <c r="G424" s="17"/>
      <c r="H424" s="17"/>
      <c r="I424" s="17"/>
    </row>
    <row r="425" spans="1:9">
      <c r="A425" s="17"/>
      <c r="B425" s="17"/>
      <c r="C425" s="17"/>
      <c r="D425" s="17"/>
      <c r="E425" s="17"/>
      <c r="F425" s="17"/>
      <c r="G425" s="17"/>
      <c r="H425" s="17"/>
      <c r="I425" s="17"/>
    </row>
    <row r="426" spans="1:9">
      <c r="A426" s="17"/>
      <c r="B426" s="17"/>
      <c r="C426" s="17"/>
      <c r="D426" s="17"/>
      <c r="E426" s="17"/>
      <c r="F426" s="17"/>
      <c r="G426" s="17"/>
      <c r="H426" s="17"/>
      <c r="I426" s="17"/>
    </row>
    <row r="427" spans="1:9">
      <c r="A427" s="17"/>
      <c r="B427" s="17"/>
      <c r="C427" s="17"/>
      <c r="D427" s="17"/>
      <c r="E427" s="17"/>
      <c r="F427" s="17"/>
      <c r="G427" s="17"/>
      <c r="H427" s="17"/>
      <c r="I427" s="17"/>
    </row>
    <row r="428" spans="1:9">
      <c r="A428" s="17"/>
      <c r="B428" s="17"/>
      <c r="C428" s="17"/>
      <c r="D428" s="17"/>
      <c r="E428" s="17"/>
      <c r="F428" s="17"/>
      <c r="G428" s="17"/>
      <c r="H428" s="17"/>
      <c r="I428" s="17"/>
    </row>
    <row r="429" spans="1:9">
      <c r="A429" s="17"/>
      <c r="B429" s="17"/>
      <c r="C429" s="17"/>
      <c r="D429" s="17"/>
      <c r="E429" s="17"/>
      <c r="F429" s="17"/>
      <c r="G429" s="17"/>
      <c r="H429" s="17"/>
      <c r="I429" s="17"/>
    </row>
    <row r="430" spans="1:9">
      <c r="A430" s="17"/>
      <c r="B430" s="17"/>
      <c r="C430" s="17"/>
      <c r="D430" s="17"/>
      <c r="E430" s="17"/>
      <c r="F430" s="17"/>
      <c r="G430" s="17"/>
      <c r="H430" s="17"/>
      <c r="I430" s="17"/>
    </row>
    <row r="431" spans="1:9">
      <c r="A431" s="17"/>
      <c r="B431" s="17"/>
      <c r="C431" s="17"/>
      <c r="D431" s="17"/>
      <c r="E431" s="17"/>
      <c r="F431" s="17"/>
      <c r="G431" s="17"/>
      <c r="H431" s="17"/>
      <c r="I431" s="17"/>
    </row>
    <row r="432" spans="1:9">
      <c r="A432" s="17"/>
      <c r="B432" s="17"/>
      <c r="C432" s="17"/>
      <c r="D432" s="17"/>
      <c r="E432" s="17"/>
      <c r="F432" s="17"/>
      <c r="G432" s="17"/>
      <c r="H432" s="17"/>
      <c r="I432" s="17"/>
    </row>
    <row r="433" spans="1:9">
      <c r="A433" s="17"/>
      <c r="B433" s="17"/>
      <c r="C433" s="17"/>
      <c r="D433" s="17"/>
      <c r="E433" s="17"/>
      <c r="F433" s="17"/>
      <c r="G433" s="17"/>
      <c r="H433" s="17"/>
      <c r="I433" s="17"/>
    </row>
    <row r="434" spans="1:9">
      <c r="A434" s="17"/>
      <c r="B434" s="17"/>
      <c r="C434" s="17"/>
      <c r="D434" s="17"/>
      <c r="E434" s="17"/>
      <c r="F434" s="17"/>
      <c r="G434" s="17"/>
      <c r="H434" s="17"/>
      <c r="I434" s="17"/>
    </row>
    <row r="435" spans="1:9">
      <c r="A435" s="17"/>
      <c r="B435" s="17"/>
      <c r="C435" s="17"/>
      <c r="D435" s="17"/>
      <c r="E435" s="17"/>
      <c r="F435" s="17"/>
      <c r="G435" s="17"/>
      <c r="H435" s="17"/>
      <c r="I435" s="17"/>
    </row>
    <row r="436" spans="1:9">
      <c r="A436" s="17"/>
      <c r="B436" s="17"/>
      <c r="C436" s="17"/>
      <c r="D436" s="17"/>
      <c r="E436" s="17"/>
      <c r="F436" s="17"/>
      <c r="G436" s="17"/>
      <c r="H436" s="17"/>
      <c r="I436" s="17"/>
    </row>
    <row r="437" spans="1:9">
      <c r="A437" s="17"/>
      <c r="B437" s="17"/>
      <c r="C437" s="17"/>
      <c r="D437" s="17"/>
      <c r="E437" s="17"/>
      <c r="F437" s="17"/>
      <c r="G437" s="17"/>
      <c r="H437" s="17"/>
      <c r="I437" s="17"/>
    </row>
    <row r="438" spans="1:9">
      <c r="A438" s="17"/>
      <c r="B438" s="17"/>
      <c r="C438" s="17"/>
      <c r="D438" s="17"/>
      <c r="E438" s="17"/>
      <c r="F438" s="17"/>
      <c r="G438" s="17"/>
      <c r="H438" s="17"/>
      <c r="I438" s="17"/>
    </row>
    <row r="439" spans="1:9">
      <c r="A439" s="17"/>
      <c r="B439" s="17"/>
      <c r="C439" s="17"/>
      <c r="D439" s="17"/>
      <c r="E439" s="17"/>
      <c r="F439" s="17"/>
      <c r="G439" s="17"/>
      <c r="H439" s="17"/>
      <c r="I439" s="17"/>
    </row>
    <row r="440" spans="1:9">
      <c r="A440" s="17"/>
      <c r="B440" s="17"/>
      <c r="C440" s="17"/>
      <c r="D440" s="17"/>
      <c r="E440" s="17"/>
      <c r="F440" s="17"/>
      <c r="G440" s="17"/>
      <c r="H440" s="17"/>
      <c r="I440" s="17"/>
    </row>
    <row r="441" spans="1:9">
      <c r="A441" s="17"/>
      <c r="B441" s="17"/>
      <c r="C441" s="17"/>
      <c r="D441" s="17"/>
      <c r="E441" s="17"/>
      <c r="F441" s="17"/>
      <c r="G441" s="17"/>
      <c r="H441" s="17"/>
      <c r="I441" s="17"/>
    </row>
    <row r="442" spans="1:9">
      <c r="A442" s="17"/>
      <c r="B442" s="17"/>
      <c r="C442" s="17"/>
      <c r="D442" s="17"/>
      <c r="E442" s="17"/>
      <c r="F442" s="17"/>
      <c r="G442" s="17"/>
      <c r="H442" s="17"/>
      <c r="I442" s="17"/>
    </row>
    <row r="443" spans="1:9">
      <c r="A443" s="17"/>
      <c r="B443" s="17"/>
      <c r="C443" s="17"/>
      <c r="D443" s="17"/>
      <c r="E443" s="17"/>
      <c r="F443" s="17"/>
      <c r="G443" s="17"/>
      <c r="H443" s="17"/>
      <c r="I443" s="17"/>
    </row>
    <row r="444" spans="1:9">
      <c r="A444" s="17"/>
      <c r="B444" s="17"/>
      <c r="C444" s="17"/>
      <c r="D444" s="17"/>
      <c r="E444" s="17"/>
      <c r="F444" s="17"/>
      <c r="G444" s="17"/>
      <c r="H444" s="17"/>
      <c r="I444" s="17"/>
    </row>
    <row r="445" spans="1:9">
      <c r="A445" s="17"/>
      <c r="B445" s="17"/>
      <c r="C445" s="17"/>
      <c r="D445" s="17"/>
      <c r="E445" s="17"/>
      <c r="F445" s="17"/>
      <c r="G445" s="17"/>
      <c r="H445" s="17"/>
      <c r="I445" s="17"/>
    </row>
    <row r="446" spans="1:9">
      <c r="A446" s="17"/>
      <c r="B446" s="17"/>
      <c r="C446" s="17"/>
      <c r="D446" s="17"/>
      <c r="E446" s="17"/>
      <c r="F446" s="17"/>
      <c r="G446" s="17"/>
      <c r="H446" s="17"/>
      <c r="I446" s="17"/>
    </row>
    <row r="447" spans="1:9">
      <c r="A447" s="17"/>
      <c r="B447" s="17"/>
      <c r="C447" s="17"/>
      <c r="D447" s="17"/>
      <c r="E447" s="17"/>
      <c r="F447" s="17"/>
      <c r="G447" s="17"/>
      <c r="H447" s="17"/>
      <c r="I447" s="17"/>
    </row>
    <row r="448" spans="1:9">
      <c r="A448" s="17"/>
      <c r="B448" s="17"/>
      <c r="C448" s="17"/>
      <c r="D448" s="17"/>
      <c r="E448" s="17"/>
      <c r="F448" s="17"/>
      <c r="G448" s="17"/>
      <c r="H448" s="17"/>
      <c r="I448" s="17"/>
    </row>
    <row r="449" spans="1:9">
      <c r="A449" s="17"/>
      <c r="B449" s="17"/>
      <c r="C449" s="17"/>
      <c r="D449" s="17"/>
      <c r="E449" s="17"/>
      <c r="F449" s="17"/>
      <c r="G449" s="17"/>
      <c r="H449" s="17"/>
      <c r="I449" s="17"/>
    </row>
    <row r="450" spans="1:9">
      <c r="A450" s="17"/>
      <c r="B450" s="17"/>
      <c r="C450" s="17"/>
      <c r="D450" s="17"/>
      <c r="E450" s="17"/>
      <c r="F450" s="17"/>
      <c r="G450" s="17"/>
      <c r="H450" s="17"/>
      <c r="I450" s="17"/>
    </row>
    <row r="451" spans="1:9">
      <c r="A451" s="17"/>
      <c r="B451" s="17"/>
      <c r="C451" s="17"/>
      <c r="D451" s="17"/>
      <c r="E451" s="17"/>
      <c r="F451" s="17"/>
      <c r="G451" s="17"/>
      <c r="H451" s="17"/>
      <c r="I451" s="17"/>
    </row>
    <row r="452" spans="1:9">
      <c r="A452" s="17"/>
      <c r="B452" s="17"/>
      <c r="C452" s="17"/>
      <c r="D452" s="17"/>
      <c r="E452" s="17"/>
      <c r="F452" s="17"/>
      <c r="G452" s="17"/>
      <c r="H452" s="17"/>
      <c r="I452" s="17"/>
    </row>
    <row r="453" spans="1:9">
      <c r="A453" s="17"/>
      <c r="B453" s="17"/>
      <c r="C453" s="17"/>
      <c r="D453" s="17"/>
      <c r="E453" s="17"/>
      <c r="F453" s="17"/>
      <c r="G453" s="17"/>
      <c r="H453" s="17"/>
      <c r="I453" s="17"/>
    </row>
    <row r="454" spans="1:9">
      <c r="A454" s="17"/>
      <c r="B454" s="17"/>
      <c r="C454" s="17"/>
      <c r="D454" s="17"/>
      <c r="E454" s="17"/>
      <c r="F454" s="17"/>
      <c r="G454" s="17"/>
      <c r="H454" s="17"/>
      <c r="I454" s="17"/>
    </row>
    <row r="455" spans="1:9">
      <c r="A455" s="17"/>
      <c r="B455" s="17"/>
      <c r="C455" s="17"/>
      <c r="D455" s="17"/>
      <c r="E455" s="17"/>
      <c r="F455" s="17"/>
      <c r="G455" s="17"/>
      <c r="H455" s="17"/>
      <c r="I455" s="17"/>
    </row>
    <row r="456" spans="1:9">
      <c r="A456" s="17"/>
      <c r="B456" s="17"/>
      <c r="C456" s="17"/>
      <c r="D456" s="17"/>
      <c r="E456" s="17"/>
      <c r="F456" s="17"/>
      <c r="G456" s="17"/>
      <c r="H456" s="17"/>
      <c r="I456" s="17"/>
    </row>
    <row r="457" spans="1:9">
      <c r="A457" s="17"/>
      <c r="B457" s="17"/>
      <c r="C457" s="17"/>
      <c r="D457" s="17"/>
      <c r="E457" s="17"/>
      <c r="F457" s="17"/>
      <c r="G457" s="17"/>
      <c r="H457" s="17"/>
      <c r="I457" s="17"/>
    </row>
    <row r="458" spans="1:9">
      <c r="A458" s="17"/>
      <c r="B458" s="17"/>
      <c r="C458" s="17"/>
      <c r="D458" s="17"/>
      <c r="E458" s="17"/>
      <c r="F458" s="17"/>
      <c r="G458" s="17"/>
      <c r="H458" s="17"/>
      <c r="I458" s="17"/>
    </row>
    <row r="459" spans="1:9">
      <c r="A459" s="17"/>
      <c r="B459" s="17"/>
      <c r="C459" s="17"/>
      <c r="D459" s="17"/>
      <c r="E459" s="17"/>
      <c r="F459" s="17"/>
      <c r="G459" s="17"/>
      <c r="H459" s="17"/>
      <c r="I459" s="17"/>
    </row>
    <row r="460" spans="1:9">
      <c r="A460" s="17"/>
      <c r="B460" s="17"/>
      <c r="C460" s="17"/>
      <c r="D460" s="17"/>
      <c r="E460" s="17"/>
      <c r="F460" s="17"/>
      <c r="G460" s="17"/>
      <c r="H460" s="17"/>
      <c r="I460" s="17"/>
    </row>
    <row r="461" spans="1:9">
      <c r="A461" s="17"/>
      <c r="B461" s="17"/>
      <c r="C461" s="17"/>
      <c r="D461" s="17"/>
      <c r="E461" s="17"/>
      <c r="F461" s="17"/>
      <c r="G461" s="17"/>
      <c r="H461" s="17"/>
      <c r="I461" s="17"/>
    </row>
    <row r="462" spans="1:9">
      <c r="A462" s="17"/>
      <c r="B462" s="17"/>
      <c r="C462" s="17"/>
      <c r="D462" s="17"/>
      <c r="E462" s="17"/>
      <c r="F462" s="17"/>
      <c r="G462" s="17"/>
      <c r="H462" s="17"/>
      <c r="I462" s="17"/>
    </row>
    <row r="463" spans="1:9">
      <c r="A463" s="17"/>
      <c r="B463" s="17"/>
      <c r="C463" s="17"/>
      <c r="D463" s="17"/>
      <c r="E463" s="17"/>
      <c r="F463" s="17"/>
      <c r="G463" s="17"/>
      <c r="H463" s="17"/>
      <c r="I463" s="17"/>
    </row>
    <row r="464" spans="1:9">
      <c r="A464" s="17"/>
      <c r="B464" s="17"/>
      <c r="C464" s="17"/>
      <c r="D464" s="17"/>
      <c r="E464" s="17"/>
      <c r="F464" s="17"/>
      <c r="G464" s="17"/>
      <c r="H464" s="17"/>
      <c r="I464" s="17"/>
    </row>
    <row r="465" spans="1:9">
      <c r="A465" s="17"/>
      <c r="B465" s="17"/>
      <c r="C465" s="17"/>
      <c r="D465" s="17"/>
      <c r="E465" s="17"/>
      <c r="F465" s="17"/>
      <c r="G465" s="17"/>
      <c r="H465" s="17"/>
      <c r="I465" s="17"/>
    </row>
    <row r="466" spans="1:9">
      <c r="A466" s="17"/>
      <c r="B466" s="17"/>
      <c r="C466" s="17"/>
      <c r="D466" s="17"/>
      <c r="E466" s="17"/>
      <c r="F466" s="17"/>
      <c r="G466" s="17"/>
      <c r="H466" s="17"/>
      <c r="I466" s="17"/>
    </row>
    <row r="467" spans="1:9">
      <c r="A467" s="17"/>
      <c r="B467" s="17"/>
      <c r="C467" s="17"/>
      <c r="D467" s="17"/>
      <c r="E467" s="17"/>
      <c r="F467" s="17"/>
      <c r="G467" s="17"/>
      <c r="H467" s="17"/>
      <c r="I467" s="17"/>
    </row>
    <row r="468" spans="1:9">
      <c r="A468" s="17"/>
      <c r="B468" s="17"/>
      <c r="C468" s="17"/>
      <c r="D468" s="17"/>
      <c r="E468" s="17"/>
      <c r="F468" s="17"/>
      <c r="G468" s="17"/>
      <c r="H468" s="17"/>
      <c r="I468" s="17"/>
    </row>
    <row r="469" spans="1:9">
      <c r="A469" s="17"/>
      <c r="B469" s="17"/>
      <c r="C469" s="17"/>
      <c r="D469" s="17"/>
      <c r="E469" s="17"/>
      <c r="F469" s="17"/>
      <c r="G469" s="17"/>
      <c r="H469" s="17"/>
      <c r="I469" s="17"/>
    </row>
    <row r="470" spans="1:9">
      <c r="A470" s="17"/>
      <c r="B470" s="17"/>
      <c r="C470" s="17"/>
      <c r="D470" s="17"/>
      <c r="E470" s="17"/>
      <c r="F470" s="17"/>
      <c r="G470" s="17"/>
      <c r="H470" s="17"/>
      <c r="I470" s="17"/>
    </row>
    <row r="471" spans="1:9">
      <c r="A471" s="17"/>
      <c r="B471" s="17"/>
      <c r="C471" s="17"/>
      <c r="D471" s="17"/>
      <c r="E471" s="17"/>
      <c r="F471" s="17"/>
      <c r="G471" s="17"/>
      <c r="H471" s="17"/>
      <c r="I471" s="17"/>
    </row>
    <row r="472" spans="1:9">
      <c r="A472" s="17"/>
      <c r="B472" s="17"/>
      <c r="C472" s="17"/>
      <c r="D472" s="17"/>
      <c r="E472" s="17"/>
      <c r="F472" s="17"/>
      <c r="G472" s="17"/>
      <c r="H472" s="17"/>
      <c r="I472" s="17"/>
    </row>
    <row r="473" spans="1:9">
      <c r="A473" s="17"/>
      <c r="B473" s="17"/>
      <c r="C473" s="17"/>
      <c r="D473" s="17"/>
      <c r="E473" s="17"/>
      <c r="F473" s="17"/>
      <c r="G473" s="17"/>
      <c r="H473" s="17"/>
      <c r="I473" s="17"/>
    </row>
    <row r="474" spans="1:9">
      <c r="A474" s="17"/>
      <c r="B474" s="17"/>
      <c r="C474" s="17"/>
      <c r="D474" s="17"/>
      <c r="E474" s="17"/>
      <c r="F474" s="17"/>
      <c r="G474" s="17"/>
      <c r="H474" s="17"/>
      <c r="I474" s="17"/>
    </row>
    <row r="475" spans="1:9">
      <c r="A475" s="17"/>
      <c r="B475" s="17"/>
      <c r="C475" s="17"/>
      <c r="D475" s="17"/>
      <c r="E475" s="17"/>
      <c r="F475" s="17"/>
      <c r="G475" s="17"/>
      <c r="H475" s="17"/>
      <c r="I475" s="17"/>
    </row>
    <row r="476" spans="1:9">
      <c r="A476" s="17"/>
      <c r="B476" s="17"/>
      <c r="C476" s="17"/>
      <c r="D476" s="17"/>
      <c r="E476" s="17"/>
      <c r="F476" s="17"/>
      <c r="G476" s="17"/>
      <c r="H476" s="17"/>
      <c r="I476" s="17"/>
    </row>
    <row r="477" spans="1:9">
      <c r="A477" s="17"/>
      <c r="B477" s="17"/>
      <c r="C477" s="17"/>
      <c r="D477" s="17"/>
      <c r="E477" s="17"/>
      <c r="F477" s="17"/>
      <c r="G477" s="17"/>
      <c r="H477" s="17"/>
      <c r="I477" s="17"/>
    </row>
    <row r="478" spans="1:9">
      <c r="A478" s="17"/>
      <c r="B478" s="17"/>
      <c r="C478" s="17"/>
      <c r="D478" s="17"/>
      <c r="E478" s="17"/>
      <c r="F478" s="17"/>
      <c r="G478" s="17"/>
      <c r="H478" s="17"/>
      <c r="I478" s="17"/>
    </row>
    <row r="479" spans="1:9">
      <c r="A479" s="17"/>
      <c r="B479" s="17"/>
      <c r="C479" s="17"/>
      <c r="D479" s="17"/>
      <c r="E479" s="17"/>
      <c r="F479" s="17"/>
      <c r="G479" s="17"/>
      <c r="H479" s="17"/>
      <c r="I479" s="17"/>
    </row>
    <row r="480" spans="1:9">
      <c r="A480" s="17"/>
      <c r="B480" s="17"/>
      <c r="C480" s="17"/>
      <c r="D480" s="17"/>
      <c r="E480" s="17"/>
      <c r="F480" s="17"/>
      <c r="G480" s="17"/>
      <c r="H480" s="17"/>
      <c r="I480" s="17"/>
    </row>
    <row r="481" spans="1:9">
      <c r="A481" s="17"/>
      <c r="B481" s="17"/>
      <c r="C481" s="17"/>
      <c r="D481" s="17"/>
      <c r="E481" s="17"/>
      <c r="F481" s="17"/>
      <c r="G481" s="17"/>
      <c r="H481" s="17"/>
      <c r="I481" s="17"/>
    </row>
    <row r="482" spans="1:9">
      <c r="A482" s="17"/>
      <c r="B482" s="17"/>
      <c r="C482" s="17"/>
      <c r="D482" s="17"/>
      <c r="E482" s="17"/>
      <c r="F482" s="17"/>
      <c r="G482" s="17"/>
      <c r="H482" s="17"/>
      <c r="I482" s="17"/>
    </row>
    <row r="483" spans="1:9">
      <c r="A483" s="17"/>
      <c r="B483" s="17"/>
      <c r="C483" s="17"/>
      <c r="D483" s="17"/>
      <c r="E483" s="17"/>
      <c r="F483" s="17"/>
      <c r="G483" s="17"/>
      <c r="H483" s="17"/>
      <c r="I483" s="17"/>
    </row>
    <row r="484" spans="1:9">
      <c r="A484" s="17"/>
      <c r="B484" s="17"/>
      <c r="C484" s="17"/>
      <c r="D484" s="17"/>
      <c r="E484" s="17"/>
      <c r="F484" s="17"/>
      <c r="G484" s="17"/>
      <c r="H484" s="17"/>
      <c r="I484" s="17"/>
    </row>
    <row r="485" spans="1:9">
      <c r="A485" s="17"/>
      <c r="B485" s="17"/>
      <c r="C485" s="17"/>
      <c r="D485" s="17"/>
      <c r="E485" s="17"/>
      <c r="F485" s="17"/>
      <c r="G485" s="17"/>
      <c r="H485" s="17"/>
      <c r="I485" s="17"/>
    </row>
    <row r="486" spans="1:9">
      <c r="A486" s="17"/>
      <c r="B486" s="17"/>
      <c r="C486" s="17"/>
      <c r="D486" s="17"/>
      <c r="E486" s="17"/>
      <c r="F486" s="17"/>
      <c r="G486" s="17"/>
      <c r="H486" s="17"/>
      <c r="I486" s="17"/>
    </row>
    <row r="487" spans="1:9">
      <c r="A487" s="17"/>
      <c r="B487" s="17"/>
      <c r="C487" s="17"/>
      <c r="D487" s="17"/>
      <c r="E487" s="17"/>
      <c r="F487" s="17"/>
      <c r="G487" s="17"/>
      <c r="H487" s="17"/>
      <c r="I487" s="17"/>
    </row>
    <row r="488" spans="1:9">
      <c r="A488" s="17"/>
      <c r="B488" s="17"/>
      <c r="C488" s="17"/>
      <c r="D488" s="17"/>
      <c r="E488" s="17"/>
      <c r="F488" s="17"/>
      <c r="G488" s="17"/>
      <c r="H488" s="17"/>
      <c r="I488" s="17"/>
    </row>
    <row r="489" spans="1:9">
      <c r="A489" s="17"/>
      <c r="B489" s="17"/>
      <c r="C489" s="17"/>
      <c r="D489" s="17"/>
      <c r="E489" s="17"/>
      <c r="F489" s="17"/>
      <c r="G489" s="17"/>
      <c r="H489" s="17"/>
      <c r="I489" s="17"/>
    </row>
    <row r="490" spans="1:9">
      <c r="A490" s="17"/>
      <c r="B490" s="17"/>
      <c r="C490" s="17"/>
      <c r="D490" s="17"/>
      <c r="E490" s="17"/>
      <c r="F490" s="17"/>
      <c r="G490" s="17"/>
      <c r="H490" s="17"/>
      <c r="I490" s="17"/>
    </row>
    <row r="491" spans="1:9">
      <c r="A491" s="17"/>
      <c r="B491" s="17"/>
      <c r="C491" s="17"/>
      <c r="D491" s="17"/>
      <c r="E491" s="17"/>
      <c r="F491" s="17"/>
      <c r="G491" s="17"/>
      <c r="H491" s="17"/>
      <c r="I491" s="17"/>
    </row>
    <row r="492" spans="1:9">
      <c r="A492" s="17"/>
      <c r="B492" s="17"/>
      <c r="C492" s="17"/>
      <c r="D492" s="17"/>
      <c r="E492" s="17"/>
      <c r="F492" s="17"/>
      <c r="G492" s="17"/>
      <c r="H492" s="17"/>
      <c r="I492" s="17"/>
    </row>
    <row r="493" spans="1:9">
      <c r="A493" s="17"/>
      <c r="B493" s="17"/>
      <c r="C493" s="17"/>
      <c r="D493" s="17"/>
      <c r="E493" s="17"/>
      <c r="F493" s="17"/>
      <c r="G493" s="17"/>
      <c r="H493" s="17"/>
      <c r="I493" s="17"/>
    </row>
    <row r="494" spans="1:9">
      <c r="A494" s="17"/>
      <c r="B494" s="17"/>
      <c r="C494" s="17"/>
      <c r="D494" s="17"/>
      <c r="E494" s="17"/>
      <c r="F494" s="17"/>
      <c r="G494" s="17"/>
      <c r="H494" s="17"/>
      <c r="I494" s="17"/>
    </row>
    <row r="495" spans="1:9">
      <c r="A495" s="17"/>
      <c r="B495" s="17"/>
      <c r="C495" s="17"/>
      <c r="D495" s="17"/>
      <c r="E495" s="17"/>
      <c r="F495" s="17"/>
      <c r="G495" s="17"/>
      <c r="H495" s="17"/>
      <c r="I495" s="17"/>
    </row>
    <row r="496" spans="1:9">
      <c r="A496" s="17"/>
      <c r="B496" s="17"/>
      <c r="C496" s="17"/>
      <c r="D496" s="17"/>
      <c r="E496" s="17"/>
      <c r="F496" s="17"/>
      <c r="G496" s="17"/>
      <c r="H496" s="17"/>
      <c r="I496" s="17"/>
    </row>
    <row r="497" spans="1:9">
      <c r="A497" s="17"/>
      <c r="B497" s="17"/>
      <c r="C497" s="17"/>
      <c r="D497" s="17"/>
      <c r="E497" s="17"/>
      <c r="F497" s="17"/>
      <c r="G497" s="17"/>
      <c r="H497" s="17"/>
      <c r="I497" s="17"/>
    </row>
    <row r="498" spans="1:9">
      <c r="A498" s="17"/>
      <c r="B498" s="17"/>
      <c r="C498" s="17"/>
      <c r="D498" s="17"/>
      <c r="E498" s="17"/>
      <c r="F498" s="17"/>
      <c r="G498" s="17"/>
      <c r="H498" s="17"/>
      <c r="I498" s="17"/>
    </row>
    <row r="499" spans="1:9">
      <c r="A499" s="17"/>
      <c r="B499" s="17"/>
      <c r="C499" s="17"/>
      <c r="D499" s="17"/>
      <c r="E499" s="17"/>
      <c r="F499" s="17"/>
      <c r="G499" s="17"/>
      <c r="H499" s="17"/>
      <c r="I499" s="17"/>
    </row>
    <row r="500" spans="1:9">
      <c r="A500" s="17"/>
      <c r="B500" s="17"/>
      <c r="C500" s="17"/>
      <c r="D500" s="17"/>
      <c r="E500" s="17"/>
      <c r="F500" s="17"/>
      <c r="G500" s="17"/>
      <c r="H500" s="17"/>
      <c r="I500" s="17"/>
    </row>
    <row r="501" spans="1:9">
      <c r="A501" s="17"/>
      <c r="B501" s="17"/>
      <c r="C501" s="17"/>
      <c r="D501" s="17"/>
      <c r="E501" s="17"/>
      <c r="F501" s="17"/>
      <c r="G501" s="17"/>
      <c r="H501" s="17"/>
      <c r="I501" s="17"/>
    </row>
    <row r="502" spans="1:9">
      <c r="A502" s="17"/>
      <c r="B502" s="17"/>
      <c r="C502" s="17"/>
      <c r="D502" s="17"/>
      <c r="E502" s="17"/>
      <c r="F502" s="17"/>
      <c r="G502" s="17"/>
      <c r="H502" s="17"/>
      <c r="I502" s="17"/>
    </row>
    <row r="503" spans="1:9">
      <c r="A503" s="17"/>
      <c r="B503" s="17"/>
      <c r="C503" s="17"/>
      <c r="D503" s="17"/>
      <c r="E503" s="17"/>
      <c r="F503" s="17"/>
      <c r="G503" s="17"/>
      <c r="H503" s="17"/>
      <c r="I503" s="17"/>
    </row>
    <row r="504" spans="1:9">
      <c r="A504" s="17"/>
      <c r="B504" s="17"/>
      <c r="C504" s="17"/>
      <c r="D504" s="17"/>
      <c r="E504" s="17"/>
      <c r="F504" s="17"/>
      <c r="G504" s="17"/>
      <c r="H504" s="17"/>
      <c r="I504" s="17"/>
    </row>
    <row r="505" spans="1:9">
      <c r="A505" s="17"/>
      <c r="B505" s="17"/>
      <c r="C505" s="17"/>
      <c r="D505" s="17"/>
      <c r="E505" s="17"/>
      <c r="F505" s="17"/>
      <c r="G505" s="17"/>
      <c r="H505" s="17"/>
      <c r="I505" s="17"/>
    </row>
    <row r="506" spans="1:9">
      <c r="A506" s="17"/>
      <c r="B506" s="17"/>
      <c r="C506" s="17"/>
      <c r="D506" s="17"/>
      <c r="E506" s="17"/>
      <c r="F506" s="17"/>
      <c r="G506" s="17"/>
      <c r="H506" s="17"/>
      <c r="I506" s="17"/>
    </row>
    <row r="507" spans="1:9">
      <c r="A507" s="17"/>
      <c r="B507" s="17"/>
      <c r="C507" s="17"/>
      <c r="D507" s="17"/>
      <c r="E507" s="17"/>
      <c r="F507" s="17"/>
      <c r="G507" s="17"/>
      <c r="H507" s="17"/>
      <c r="I507" s="17"/>
    </row>
    <row r="508" spans="1:9">
      <c r="A508" s="17"/>
      <c r="B508" s="17"/>
      <c r="C508" s="17"/>
      <c r="D508" s="17"/>
      <c r="E508" s="17"/>
      <c r="F508" s="17"/>
      <c r="G508" s="17"/>
      <c r="H508" s="17"/>
      <c r="I508" s="17"/>
    </row>
    <row r="509" spans="1:9">
      <c r="A509" s="17"/>
      <c r="B509" s="17"/>
      <c r="C509" s="17"/>
      <c r="D509" s="17"/>
      <c r="E509" s="17"/>
      <c r="F509" s="17"/>
      <c r="G509" s="17"/>
      <c r="H509" s="17"/>
      <c r="I509" s="17"/>
    </row>
    <row r="510" spans="1:9">
      <c r="A510" s="17"/>
      <c r="B510" s="17"/>
      <c r="C510" s="17"/>
      <c r="D510" s="17"/>
      <c r="E510" s="17"/>
      <c r="F510" s="17"/>
      <c r="G510" s="17"/>
      <c r="H510" s="17"/>
      <c r="I510" s="17"/>
    </row>
    <row r="511" spans="1:9">
      <c r="A511" s="17"/>
      <c r="B511" s="17"/>
      <c r="C511" s="17"/>
      <c r="D511" s="17"/>
      <c r="E511" s="17"/>
      <c r="F511" s="17"/>
      <c r="G511" s="17"/>
      <c r="H511" s="17"/>
      <c r="I511" s="17"/>
    </row>
    <row r="512" spans="1:9">
      <c r="A512" s="17"/>
      <c r="B512" s="17"/>
      <c r="C512" s="17"/>
      <c r="D512" s="17"/>
      <c r="E512" s="17"/>
      <c r="F512" s="17"/>
      <c r="G512" s="17"/>
      <c r="H512" s="17"/>
      <c r="I512" s="17"/>
    </row>
    <row r="513" spans="1:9">
      <c r="A513" s="17"/>
      <c r="B513" s="17"/>
      <c r="C513" s="17"/>
      <c r="D513" s="17"/>
      <c r="E513" s="17"/>
      <c r="F513" s="17"/>
      <c r="G513" s="17"/>
      <c r="H513" s="17"/>
      <c r="I513" s="17"/>
    </row>
    <row r="514" spans="1:9">
      <c r="A514" s="17"/>
      <c r="B514" s="17"/>
      <c r="C514" s="17"/>
      <c r="D514" s="17"/>
      <c r="E514" s="17"/>
      <c r="F514" s="17"/>
      <c r="G514" s="17"/>
      <c r="H514" s="17"/>
      <c r="I514" s="17"/>
    </row>
    <row r="515" spans="1:9">
      <c r="A515" s="17"/>
      <c r="B515" s="17"/>
      <c r="C515" s="17"/>
      <c r="D515" s="17"/>
      <c r="E515" s="17"/>
      <c r="F515" s="17"/>
      <c r="G515" s="17"/>
      <c r="H515" s="17"/>
      <c r="I515" s="17"/>
    </row>
    <row r="516" spans="1:9">
      <c r="A516" s="17"/>
      <c r="B516" s="17"/>
      <c r="C516" s="17"/>
      <c r="D516" s="17"/>
      <c r="E516" s="17"/>
      <c r="F516" s="17"/>
      <c r="G516" s="17"/>
      <c r="H516" s="17"/>
      <c r="I516" s="17"/>
    </row>
    <row r="517" spans="1:9">
      <c r="A517" s="17"/>
      <c r="B517" s="17"/>
      <c r="C517" s="17"/>
      <c r="D517" s="17"/>
      <c r="E517" s="17"/>
      <c r="F517" s="17"/>
      <c r="G517" s="17"/>
      <c r="H517" s="17"/>
      <c r="I517" s="17"/>
    </row>
    <row r="518" spans="1:9">
      <c r="A518" s="17"/>
      <c r="B518" s="17"/>
      <c r="C518" s="17"/>
      <c r="D518" s="17"/>
      <c r="E518" s="17"/>
      <c r="F518" s="17"/>
      <c r="G518" s="17"/>
      <c r="H518" s="17"/>
      <c r="I518" s="17"/>
    </row>
    <row r="519" spans="1:9">
      <c r="A519" s="17"/>
      <c r="B519" s="17"/>
      <c r="C519" s="17"/>
      <c r="D519" s="17"/>
      <c r="E519" s="17"/>
      <c r="F519" s="17"/>
      <c r="G519" s="17"/>
      <c r="H519" s="17"/>
      <c r="I519" s="17"/>
    </row>
    <row r="520" spans="1:9">
      <c r="A520" s="17"/>
      <c r="B520" s="17"/>
      <c r="C520" s="17"/>
      <c r="D520" s="17"/>
      <c r="E520" s="17"/>
      <c r="F520" s="17"/>
      <c r="G520" s="17"/>
      <c r="H520" s="17"/>
      <c r="I520" s="17"/>
    </row>
    <row r="521" spans="1:9">
      <c r="A521" s="17"/>
      <c r="B521" s="17"/>
      <c r="C521" s="17"/>
      <c r="D521" s="17"/>
      <c r="E521" s="17"/>
      <c r="F521" s="17"/>
      <c r="G521" s="17"/>
      <c r="H521" s="17"/>
      <c r="I521" s="17"/>
    </row>
    <row r="522" spans="1:9">
      <c r="A522" s="17"/>
      <c r="B522" s="17"/>
      <c r="C522" s="17"/>
      <c r="D522" s="17"/>
      <c r="E522" s="17"/>
      <c r="F522" s="17"/>
      <c r="G522" s="17"/>
      <c r="H522" s="17"/>
      <c r="I522" s="17"/>
    </row>
    <row r="523" spans="1:9">
      <c r="A523" s="17"/>
      <c r="B523" s="17"/>
      <c r="C523" s="17"/>
      <c r="D523" s="17"/>
      <c r="E523" s="17"/>
      <c r="F523" s="17"/>
      <c r="G523" s="17"/>
      <c r="H523" s="17"/>
      <c r="I523" s="17"/>
    </row>
    <row r="524" spans="1:9">
      <c r="A524" s="17"/>
      <c r="B524" s="17"/>
      <c r="C524" s="17"/>
      <c r="D524" s="17"/>
      <c r="E524" s="17"/>
      <c r="F524" s="17"/>
      <c r="G524" s="17"/>
      <c r="H524" s="17"/>
      <c r="I524" s="17"/>
    </row>
    <row r="525" spans="1:9">
      <c r="A525" s="17"/>
      <c r="B525" s="17"/>
      <c r="C525" s="17"/>
      <c r="D525" s="17"/>
      <c r="E525" s="17"/>
      <c r="F525" s="17"/>
      <c r="G525" s="17"/>
      <c r="H525" s="17"/>
      <c r="I525" s="17"/>
    </row>
    <row r="526" spans="1:9">
      <c r="A526" s="17"/>
      <c r="B526" s="17"/>
      <c r="C526" s="17"/>
      <c r="D526" s="17"/>
      <c r="E526" s="17"/>
      <c r="F526" s="17"/>
      <c r="G526" s="17"/>
      <c r="H526" s="17"/>
      <c r="I526" s="17"/>
    </row>
    <row r="527" spans="1:9">
      <c r="A527" s="17"/>
      <c r="B527" s="17"/>
      <c r="C527" s="17"/>
      <c r="D527" s="17"/>
      <c r="E527" s="17"/>
      <c r="F527" s="17"/>
      <c r="G527" s="17"/>
      <c r="H527" s="17"/>
      <c r="I527" s="17"/>
    </row>
    <row r="528" spans="1:9">
      <c r="A528" s="17"/>
      <c r="B528" s="17"/>
      <c r="C528" s="17"/>
      <c r="D528" s="17"/>
      <c r="E528" s="17"/>
      <c r="F528" s="17"/>
      <c r="G528" s="17"/>
      <c r="H528" s="17"/>
      <c r="I528" s="17"/>
    </row>
    <row r="529" spans="1:9">
      <c r="A529" s="17"/>
      <c r="B529" s="17"/>
      <c r="C529" s="17"/>
      <c r="D529" s="17"/>
      <c r="E529" s="17"/>
      <c r="F529" s="17"/>
      <c r="G529" s="17"/>
      <c r="H529" s="17"/>
      <c r="I529" s="17"/>
    </row>
    <row r="530" spans="1:9">
      <c r="A530" s="17"/>
      <c r="B530" s="17"/>
      <c r="C530" s="17"/>
      <c r="D530" s="17"/>
      <c r="E530" s="17"/>
      <c r="F530" s="17"/>
      <c r="G530" s="17"/>
      <c r="H530" s="17"/>
      <c r="I530" s="17"/>
    </row>
    <row r="531" spans="1:9">
      <c r="A531" s="17"/>
      <c r="B531" s="17"/>
      <c r="C531" s="17"/>
      <c r="D531" s="17"/>
      <c r="E531" s="17"/>
      <c r="F531" s="17"/>
      <c r="G531" s="17"/>
      <c r="H531" s="17"/>
      <c r="I531" s="17"/>
    </row>
    <row r="532" spans="1:9">
      <c r="A532" s="17"/>
      <c r="B532" s="17"/>
      <c r="C532" s="17"/>
      <c r="D532" s="17"/>
      <c r="E532" s="17"/>
      <c r="F532" s="17"/>
      <c r="G532" s="17"/>
      <c r="H532" s="17"/>
      <c r="I532" s="17"/>
    </row>
    <row r="533" spans="1:9">
      <c r="A533" s="17"/>
      <c r="B533" s="17"/>
      <c r="C533" s="17"/>
      <c r="D533" s="17"/>
      <c r="E533" s="17"/>
      <c r="F533" s="17"/>
      <c r="G533" s="17"/>
      <c r="H533" s="17"/>
      <c r="I533" s="17"/>
    </row>
    <row r="534" spans="1:9">
      <c r="A534" s="17"/>
      <c r="B534" s="17"/>
      <c r="C534" s="17"/>
      <c r="D534" s="17"/>
      <c r="E534" s="17"/>
      <c r="F534" s="17"/>
      <c r="G534" s="17"/>
      <c r="H534" s="17"/>
      <c r="I534" s="17"/>
    </row>
    <row r="535" spans="1:9">
      <c r="A535" s="17"/>
      <c r="B535" s="17"/>
      <c r="C535" s="17"/>
      <c r="D535" s="17"/>
      <c r="E535" s="17"/>
      <c r="F535" s="17"/>
      <c r="G535" s="17"/>
      <c r="H535" s="17"/>
      <c r="I535" s="17"/>
    </row>
    <row r="536" spans="1:9">
      <c r="A536" s="17"/>
      <c r="B536" s="17"/>
      <c r="C536" s="17"/>
      <c r="D536" s="17"/>
      <c r="E536" s="17"/>
      <c r="F536" s="17"/>
      <c r="G536" s="17"/>
      <c r="H536" s="17"/>
      <c r="I536" s="17"/>
    </row>
    <row r="537" spans="1:9">
      <c r="A537" s="17"/>
      <c r="B537" s="17"/>
      <c r="C537" s="17"/>
      <c r="D537" s="17"/>
      <c r="E537" s="17"/>
      <c r="F537" s="17"/>
      <c r="G537" s="17"/>
      <c r="H537" s="17"/>
      <c r="I537" s="17"/>
    </row>
    <row r="538" spans="1:9">
      <c r="A538" s="17"/>
      <c r="B538" s="17"/>
      <c r="C538" s="17"/>
      <c r="D538" s="17"/>
      <c r="E538" s="17"/>
      <c r="F538" s="17"/>
      <c r="G538" s="17"/>
      <c r="H538" s="17"/>
      <c r="I538" s="17"/>
    </row>
    <row r="539" spans="1:9">
      <c r="A539" s="17"/>
      <c r="B539" s="17"/>
      <c r="C539" s="17"/>
      <c r="D539" s="17"/>
      <c r="E539" s="17"/>
      <c r="F539" s="17"/>
      <c r="G539" s="17"/>
      <c r="H539" s="17"/>
      <c r="I539" s="17"/>
    </row>
    <row r="540" spans="1:9">
      <c r="A540" s="17"/>
      <c r="B540" s="17"/>
      <c r="C540" s="17"/>
      <c r="D540" s="17"/>
      <c r="E540" s="17"/>
      <c r="F540" s="17"/>
      <c r="G540" s="17"/>
      <c r="H540" s="17"/>
      <c r="I540" s="17"/>
    </row>
    <row r="541" spans="1:9">
      <c r="A541" s="17"/>
      <c r="B541" s="17"/>
      <c r="C541" s="17"/>
      <c r="D541" s="17"/>
      <c r="E541" s="17"/>
      <c r="F541" s="17"/>
      <c r="G541" s="17"/>
      <c r="H541" s="17"/>
      <c r="I541" s="17"/>
    </row>
    <row r="542" spans="1:9">
      <c r="A542" s="17"/>
      <c r="B542" s="17"/>
      <c r="C542" s="17"/>
      <c r="D542" s="17"/>
      <c r="E542" s="17"/>
      <c r="F542" s="17"/>
      <c r="G542" s="17"/>
      <c r="H542" s="17"/>
      <c r="I542" s="17"/>
    </row>
    <row r="543" spans="1:9">
      <c r="A543" s="17"/>
      <c r="B543" s="17"/>
      <c r="C543" s="17"/>
      <c r="D543" s="17"/>
      <c r="E543" s="17"/>
      <c r="F543" s="17"/>
      <c r="G543" s="17"/>
      <c r="H543" s="17"/>
      <c r="I543" s="17"/>
    </row>
    <row r="544" spans="1:9">
      <c r="A544" s="17"/>
      <c r="B544" s="17"/>
      <c r="C544" s="17"/>
      <c r="D544" s="17"/>
      <c r="E544" s="17"/>
      <c r="F544" s="17"/>
      <c r="G544" s="17"/>
      <c r="H544" s="17"/>
      <c r="I544" s="17"/>
    </row>
    <row r="545" spans="1:9">
      <c r="A545" s="17"/>
      <c r="B545" s="17"/>
      <c r="C545" s="17"/>
      <c r="D545" s="17"/>
      <c r="E545" s="17"/>
      <c r="F545" s="17"/>
      <c r="G545" s="17"/>
      <c r="H545" s="17"/>
      <c r="I545" s="17"/>
    </row>
    <row r="546" spans="1:9">
      <c r="A546" s="17"/>
      <c r="B546" s="17"/>
      <c r="C546" s="17"/>
      <c r="D546" s="17"/>
      <c r="E546" s="17"/>
      <c r="F546" s="17"/>
      <c r="G546" s="17"/>
      <c r="H546" s="17"/>
      <c r="I546" s="17"/>
    </row>
    <row r="547" spans="1:9">
      <c r="A547" s="17"/>
      <c r="B547" s="17"/>
      <c r="C547" s="17"/>
      <c r="D547" s="17"/>
      <c r="E547" s="17"/>
      <c r="F547" s="17"/>
      <c r="G547" s="17"/>
      <c r="H547" s="17"/>
      <c r="I547" s="17"/>
    </row>
    <row r="548" spans="1:9">
      <c r="A548" s="17"/>
      <c r="B548" s="17"/>
      <c r="C548" s="17"/>
      <c r="D548" s="17"/>
      <c r="E548" s="17"/>
      <c r="F548" s="17"/>
      <c r="G548" s="17"/>
      <c r="H548" s="17"/>
      <c r="I548" s="17"/>
    </row>
    <row r="549" spans="1:9">
      <c r="A549" s="17"/>
      <c r="B549" s="17"/>
      <c r="C549" s="17"/>
      <c r="D549" s="17"/>
      <c r="E549" s="17"/>
      <c r="F549" s="17"/>
      <c r="G549" s="17"/>
      <c r="H549" s="17"/>
      <c r="I549" s="17"/>
    </row>
    <row r="550" spans="1:9">
      <c r="A550" s="17"/>
      <c r="B550" s="17"/>
      <c r="C550" s="17"/>
      <c r="D550" s="17"/>
      <c r="E550" s="17"/>
      <c r="F550" s="17"/>
      <c r="G550" s="17"/>
      <c r="H550" s="17"/>
      <c r="I550" s="17"/>
    </row>
    <row r="551" spans="1:9">
      <c r="A551" s="17"/>
      <c r="B551" s="17"/>
      <c r="C551" s="17"/>
      <c r="D551" s="17"/>
      <c r="E551" s="17"/>
      <c r="F551" s="17"/>
      <c r="G551" s="17"/>
      <c r="H551" s="17"/>
      <c r="I551" s="17"/>
    </row>
    <row r="552" spans="1:9">
      <c r="A552" s="17"/>
      <c r="B552" s="17"/>
      <c r="C552" s="17"/>
      <c r="D552" s="17"/>
      <c r="E552" s="17"/>
      <c r="F552" s="17"/>
      <c r="G552" s="17"/>
      <c r="H552" s="17"/>
      <c r="I552" s="17"/>
    </row>
    <row r="553" spans="1:9">
      <c r="A553" s="17"/>
      <c r="B553" s="17"/>
      <c r="C553" s="17"/>
      <c r="D553" s="17"/>
      <c r="E553" s="17"/>
      <c r="F553" s="17"/>
      <c r="G553" s="17"/>
      <c r="H553" s="17"/>
      <c r="I553" s="17"/>
    </row>
    <row r="554" spans="1:9">
      <c r="A554" s="17"/>
      <c r="B554" s="17"/>
      <c r="C554" s="17"/>
      <c r="D554" s="17"/>
      <c r="E554" s="17"/>
      <c r="F554" s="17"/>
      <c r="G554" s="17"/>
      <c r="H554" s="17"/>
      <c r="I554" s="17"/>
    </row>
    <row r="555" spans="1:9">
      <c r="A555" s="17"/>
      <c r="B555" s="17"/>
      <c r="C555" s="17"/>
      <c r="D555" s="17"/>
      <c r="E555" s="17"/>
      <c r="F555" s="17"/>
      <c r="G555" s="17"/>
      <c r="H555" s="17"/>
      <c r="I555" s="17"/>
    </row>
    <row r="556" spans="1:9">
      <c r="A556" s="17"/>
      <c r="B556" s="17"/>
      <c r="C556" s="17"/>
      <c r="D556" s="17"/>
      <c r="E556" s="17"/>
      <c r="F556" s="17"/>
      <c r="G556" s="17"/>
      <c r="H556" s="17"/>
      <c r="I556" s="17"/>
    </row>
    <row r="557" spans="1:9">
      <c r="A557" s="17"/>
      <c r="B557" s="17"/>
      <c r="C557" s="17"/>
      <c r="D557" s="17"/>
      <c r="E557" s="17"/>
      <c r="F557" s="17"/>
      <c r="G557" s="17"/>
      <c r="H557" s="17"/>
      <c r="I557" s="17"/>
    </row>
    <row r="558" spans="1:9">
      <c r="A558" s="17"/>
      <c r="B558" s="17"/>
      <c r="C558" s="17"/>
      <c r="D558" s="17"/>
      <c r="E558" s="17"/>
      <c r="F558" s="17"/>
      <c r="G558" s="17"/>
      <c r="H558" s="17"/>
      <c r="I558" s="17"/>
    </row>
    <row r="559" spans="1:9">
      <c r="A559" s="17"/>
      <c r="B559" s="17"/>
      <c r="C559" s="17"/>
      <c r="D559" s="17"/>
      <c r="E559" s="17"/>
      <c r="F559" s="17"/>
      <c r="G559" s="17"/>
      <c r="H559" s="17"/>
      <c r="I559" s="17"/>
    </row>
    <row r="560" spans="1:9">
      <c r="A560" s="17"/>
      <c r="B560" s="17"/>
      <c r="C560" s="17"/>
      <c r="D560" s="17"/>
      <c r="E560" s="17"/>
      <c r="F560" s="17"/>
      <c r="G560" s="17"/>
      <c r="H560" s="17"/>
      <c r="I560" s="17"/>
    </row>
    <row r="561" spans="1:9">
      <c r="A561" s="17"/>
      <c r="B561" s="17"/>
      <c r="C561" s="17"/>
      <c r="D561" s="17"/>
      <c r="E561" s="17"/>
      <c r="F561" s="17"/>
      <c r="G561" s="17"/>
      <c r="H561" s="17"/>
      <c r="I561" s="17"/>
    </row>
  </sheetData>
  <phoneticPr fontId="2" type="noConversion"/>
  <hyperlinks>
    <hyperlink ref="A10" location="Modelo!A67" display="2.1.1 Efectivo: Suma(MdeO, Gtos Fabción, Gastos A y V) / 360 x Ciclo de Caja °"/>
    <hyperlink ref="A11" location="Modelo!A68" display="2.1.2 Cartera promedio: Ventas totales * DPC / 360"/>
    <hyperlink ref="A12" location="Modelo!A35" display="2.1.3 Materia Prima: Costo de la Materia Prima / Rotación de Mat. Prima"/>
    <hyperlink ref="A13" location="Modelo!A42" display="2.1.4 Productos en Proceso: (MP + MdeO + Gtos Fab. + Inv. Inicial Prod. Proceso) / ( 1 + Rot. Prod. Proc.)"/>
    <hyperlink ref="A14" location="Modelo!A45" display="2.1.5 Productos Terminados: ( Costo de Producción + Inv. Inicial Prod. Term) / ( 1 + Rot. Prod. Term )"/>
    <hyperlink ref="A19" location="Modelo!A61" display="3.1 Partiendo del grado de endeudamiento dimensionar el aporte de Capital: Plan de Inversión x ( 1-GE)"/>
    <hyperlink ref="A20" location="Modelo!A61" display="3.2 Determinar el cupo de crédito con los proveedores: Compras x DPP / 360"/>
    <hyperlink ref="A71" location="Modelo!A115" display="Método 1: EVA = NOPAT - WACC x INVERSIONES"/>
    <hyperlink ref="A70" r:id="rId1"/>
    <hyperlink ref="A15" location="Modelo!A69" display="2.1.6 Empresa comercial: Costo de Ventas/Rotación Inventarios"/>
  </hyperlinks>
  <pageMargins left="0.75" right="0.75" top="1" bottom="1" header="0" footer="0"/>
  <pageSetup orientation="portrait" horizontalDpi="4294967293" verticalDpi="0" r:id="rId2"/>
  <headerFooter alignWithMargins="0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4"/>
  <dimension ref="A1"/>
  <sheetViews>
    <sheetView workbookViewId="0"/>
  </sheetViews>
  <sheetFormatPr baseColWidth="10" defaultRowHeight="12.75"/>
  <sheetData/>
  <phoneticPr fontId="2" type="noConversion"/>
  <pageMargins left="0.75" right="0.75" top="1" bottom="1" header="0" footer="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1" enableFormatConditionsCalculation="0">
    <tabColor indexed="57"/>
    <outlinePr summaryBelow="0"/>
  </sheetPr>
  <dimension ref="A1:AA257"/>
  <sheetViews>
    <sheetView zoomScale="115" zoomScaleNormal="115" workbookViewId="0"/>
  </sheetViews>
  <sheetFormatPr baseColWidth="10" defaultRowHeight="12.75" outlineLevelRow="1" outlineLevelCol="1"/>
  <cols>
    <col min="1" max="1" width="34.42578125" customWidth="1"/>
    <col min="2" max="2" width="19.85546875" customWidth="1"/>
    <col min="3" max="3" width="15.7109375" customWidth="1"/>
    <col min="4" max="4" width="13" customWidth="1" outlineLevel="1"/>
    <col min="5" max="5" width="10.42578125" customWidth="1" outlineLevel="1"/>
    <col min="6" max="6" width="16.140625" customWidth="1" outlineLevel="1"/>
    <col min="7" max="10" width="10.42578125" customWidth="1" outlineLevel="1"/>
    <col min="11" max="11" width="11.85546875" customWidth="1" outlineLevel="1"/>
    <col min="12" max="13" width="11.85546875" bestFit="1" customWidth="1"/>
    <col min="14" max="14" width="12.85546875" bestFit="1" customWidth="1"/>
    <col min="15" max="15" width="11.85546875" bestFit="1" customWidth="1"/>
    <col min="18" max="18" width="12" customWidth="1"/>
  </cols>
  <sheetData>
    <row r="1" spans="1:12">
      <c r="A1" s="28" t="s">
        <v>0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</row>
    <row r="2" spans="1:12">
      <c r="A2" s="28"/>
    </row>
    <row r="3" spans="1:12">
      <c r="A3" s="28" t="s">
        <v>1</v>
      </c>
    </row>
    <row r="4" spans="1:12" outlineLevel="1">
      <c r="A4" s="28" t="s">
        <v>2</v>
      </c>
      <c r="B4" s="136">
        <v>1000000</v>
      </c>
    </row>
    <row r="5" spans="1:12" outlineLevel="1">
      <c r="A5" s="28" t="s">
        <v>3</v>
      </c>
      <c r="B5" s="28"/>
      <c r="D5" s="3">
        <v>0.1</v>
      </c>
      <c r="E5" s="3">
        <v>0.06</v>
      </c>
      <c r="F5" s="3">
        <v>0.06</v>
      </c>
      <c r="G5" s="3">
        <v>0.06</v>
      </c>
      <c r="H5" s="3">
        <v>0.06</v>
      </c>
      <c r="I5" s="3">
        <v>0.06</v>
      </c>
      <c r="J5" s="3">
        <v>0.06</v>
      </c>
      <c r="K5" s="3">
        <v>0.06</v>
      </c>
      <c r="L5" s="3">
        <v>0.06</v>
      </c>
    </row>
    <row r="6" spans="1:12" outlineLevel="1">
      <c r="A6" s="28" t="s">
        <v>4</v>
      </c>
      <c r="B6" s="28"/>
      <c r="D6" s="3">
        <v>0.3</v>
      </c>
      <c r="E6" s="3">
        <v>0.15</v>
      </c>
      <c r="F6" s="3">
        <v>0.05</v>
      </c>
      <c r="G6" s="3">
        <v>0.05</v>
      </c>
      <c r="H6" s="3">
        <v>0.05</v>
      </c>
      <c r="I6" s="3">
        <v>0.05</v>
      </c>
      <c r="J6" s="3">
        <v>0.05</v>
      </c>
      <c r="K6" s="3">
        <v>0.05</v>
      </c>
      <c r="L6" s="3">
        <v>0.05</v>
      </c>
    </row>
    <row r="7" spans="1:12" outlineLevel="1">
      <c r="A7" s="28" t="s">
        <v>5</v>
      </c>
      <c r="B7" s="137">
        <v>0.57999999999999996</v>
      </c>
    </row>
    <row r="8" spans="1:12" outlineLevel="1">
      <c r="A8" s="28" t="s">
        <v>6</v>
      </c>
      <c r="B8" s="138">
        <v>6</v>
      </c>
    </row>
    <row r="9" spans="1:12" outlineLevel="1">
      <c r="A9" s="28" t="s">
        <v>7</v>
      </c>
      <c r="B9" s="136">
        <v>100000</v>
      </c>
    </row>
    <row r="10" spans="1:12" outlineLevel="1">
      <c r="A10" s="28" t="s">
        <v>8</v>
      </c>
      <c r="B10" s="28"/>
      <c r="D10" s="3">
        <v>0.04</v>
      </c>
      <c r="E10" s="3">
        <v>0.04</v>
      </c>
      <c r="F10" s="3">
        <v>0.04</v>
      </c>
      <c r="G10" s="3">
        <v>0.04</v>
      </c>
      <c r="H10" s="3">
        <v>0.04</v>
      </c>
      <c r="I10" s="3">
        <v>0.04</v>
      </c>
      <c r="J10" s="3">
        <v>0.04</v>
      </c>
      <c r="K10" s="3">
        <v>0.04</v>
      </c>
      <c r="L10" s="3">
        <v>0.04</v>
      </c>
    </row>
    <row r="11" spans="1:12" outlineLevel="1">
      <c r="A11" s="28" t="s">
        <v>9</v>
      </c>
      <c r="B11" s="137">
        <v>0.06</v>
      </c>
    </row>
    <row r="12" spans="1:12" outlineLevel="1">
      <c r="A12" s="28" t="s">
        <v>10</v>
      </c>
      <c r="B12" s="134">
        <v>250000</v>
      </c>
    </row>
    <row r="13" spans="1:12" outlineLevel="1">
      <c r="A13" s="28" t="s">
        <v>11</v>
      </c>
      <c r="B13" s="40">
        <v>10</v>
      </c>
    </row>
    <row r="14" spans="1:12" outlineLevel="1">
      <c r="A14" s="28" t="s">
        <v>266</v>
      </c>
      <c r="B14" s="39">
        <v>0.7</v>
      </c>
    </row>
    <row r="15" spans="1:12" outlineLevel="1">
      <c r="A15" s="28" t="s">
        <v>267</v>
      </c>
      <c r="B15" s="139">
        <v>0.12</v>
      </c>
    </row>
    <row r="16" spans="1:12" outlineLevel="1">
      <c r="A16" s="28" t="s">
        <v>268</v>
      </c>
      <c r="B16" s="40">
        <v>10</v>
      </c>
    </row>
    <row r="17" spans="1:19" outlineLevel="1">
      <c r="A17" s="28" t="s">
        <v>269</v>
      </c>
      <c r="B17" s="38">
        <v>20</v>
      </c>
      <c r="C17" s="44">
        <f>C63</f>
        <v>223027.77777777772</v>
      </c>
      <c r="D17" s="44">
        <f>C17-D18</f>
        <v>200724.99999999994</v>
      </c>
      <c r="E17" s="44">
        <f t="shared" ref="E17:M17" si="0">D17-E18</f>
        <v>178422.22222222216</v>
      </c>
      <c r="F17" s="44">
        <f t="shared" si="0"/>
        <v>156119.44444444438</v>
      </c>
      <c r="G17" s="44">
        <f t="shared" si="0"/>
        <v>133816.6666666666</v>
      </c>
      <c r="H17" s="44">
        <f t="shared" si="0"/>
        <v>111513.88888888882</v>
      </c>
      <c r="I17" s="44">
        <f t="shared" si="0"/>
        <v>89211.111111111037</v>
      </c>
      <c r="J17" s="44">
        <f t="shared" si="0"/>
        <v>66908.333333333256</v>
      </c>
      <c r="K17" s="44">
        <f t="shared" si="0"/>
        <v>44605.555555555482</v>
      </c>
      <c r="L17" s="44">
        <f t="shared" si="0"/>
        <v>22302.777777777708</v>
      </c>
      <c r="M17" s="44">
        <f t="shared" si="0"/>
        <v>-6.5483618527650833E-11</v>
      </c>
    </row>
    <row r="18" spans="1:19" outlineLevel="1">
      <c r="A18" s="28" t="s">
        <v>270</v>
      </c>
      <c r="B18" s="38">
        <v>21</v>
      </c>
      <c r="D18" s="2">
        <f>IF($B$16&gt;=C40,$C$17/$B$16,0)</f>
        <v>22302.777777777774</v>
      </c>
      <c r="E18" s="2">
        <f t="shared" ref="E18:M18" si="1">IF($B$16&gt;=D40,$C$17/$B$16,0)</f>
        <v>22302.777777777774</v>
      </c>
      <c r="F18" s="2">
        <f t="shared" si="1"/>
        <v>22302.777777777774</v>
      </c>
      <c r="G18" s="2">
        <f t="shared" si="1"/>
        <v>22302.777777777774</v>
      </c>
      <c r="H18" s="2">
        <f t="shared" si="1"/>
        <v>22302.777777777774</v>
      </c>
      <c r="I18" s="2">
        <f t="shared" si="1"/>
        <v>22302.777777777774</v>
      </c>
      <c r="J18" s="2">
        <f t="shared" si="1"/>
        <v>22302.777777777774</v>
      </c>
      <c r="K18" s="2">
        <f t="shared" si="1"/>
        <v>22302.777777777774</v>
      </c>
      <c r="L18" s="2">
        <f t="shared" si="1"/>
        <v>22302.777777777774</v>
      </c>
      <c r="M18" s="2">
        <f t="shared" si="1"/>
        <v>22302.777777777774</v>
      </c>
    </row>
    <row r="19" spans="1:19" outlineLevel="1">
      <c r="A19" s="28" t="s">
        <v>271</v>
      </c>
      <c r="B19" s="38">
        <v>22</v>
      </c>
    </row>
    <row r="20" spans="1:19" outlineLevel="1">
      <c r="A20" s="28" t="s">
        <v>272</v>
      </c>
      <c r="B20" s="140">
        <v>75</v>
      </c>
    </row>
    <row r="21" spans="1:19" outlineLevel="1">
      <c r="A21" s="28" t="s">
        <v>273</v>
      </c>
      <c r="B21" s="140">
        <v>60</v>
      </c>
    </row>
    <row r="22" spans="1:19" outlineLevel="1">
      <c r="A22" s="28" t="s">
        <v>274</v>
      </c>
      <c r="B22" s="42">
        <v>15</v>
      </c>
      <c r="C22" s="42">
        <f>360/B8+B21-B20</f>
        <v>45</v>
      </c>
    </row>
    <row r="23" spans="1:19" outlineLevel="1">
      <c r="A23" s="28" t="s">
        <v>275</v>
      </c>
      <c r="B23" s="28"/>
      <c r="C23" s="3">
        <v>0.34</v>
      </c>
      <c r="D23" s="3">
        <v>0.33</v>
      </c>
      <c r="E23" s="3">
        <v>0.33</v>
      </c>
      <c r="F23" s="3">
        <v>0.33</v>
      </c>
      <c r="G23" s="3">
        <v>0.33</v>
      </c>
      <c r="H23" s="3">
        <v>0.33</v>
      </c>
      <c r="I23" s="3">
        <v>0.33</v>
      </c>
      <c r="J23" s="3">
        <v>0.33</v>
      </c>
      <c r="K23" s="3">
        <v>0.33</v>
      </c>
      <c r="L23" s="3">
        <v>0.33</v>
      </c>
      <c r="M23" s="3">
        <v>0.33</v>
      </c>
    </row>
    <row r="24" spans="1:19" outlineLevel="1">
      <c r="A24" s="28" t="s">
        <v>276</v>
      </c>
      <c r="B24" s="141">
        <v>0.3</v>
      </c>
    </row>
    <row r="25" spans="1:19" outlineLevel="1">
      <c r="A25" s="28" t="s">
        <v>277</v>
      </c>
      <c r="B25" s="41">
        <v>0.02</v>
      </c>
    </row>
    <row r="26" spans="1:19" ht="14.25" outlineLevel="1">
      <c r="A26" s="28" t="s">
        <v>278</v>
      </c>
      <c r="B26" s="41">
        <v>0.03</v>
      </c>
      <c r="R26" s="172" t="s">
        <v>409</v>
      </c>
      <c r="S26" s="173" t="s">
        <v>900</v>
      </c>
    </row>
    <row r="27" spans="1:19" ht="14.25" outlineLevel="1">
      <c r="A27" s="28" t="s">
        <v>386</v>
      </c>
      <c r="B27" s="34">
        <v>0.05</v>
      </c>
      <c r="R27" s="174">
        <v>1</v>
      </c>
      <c r="S27" s="175">
        <v>900000</v>
      </c>
    </row>
    <row r="28" spans="1:19" ht="14.25" outlineLevel="1">
      <c r="A28" s="28" t="s">
        <v>387</v>
      </c>
      <c r="B28" s="42">
        <v>30</v>
      </c>
      <c r="R28" s="176">
        <v>2</v>
      </c>
      <c r="S28" s="177">
        <v>1000000</v>
      </c>
    </row>
    <row r="29" spans="1:19" ht="14.25" outlineLevel="1">
      <c r="A29" s="7" t="s">
        <v>908</v>
      </c>
      <c r="B29" s="35">
        <v>222222</v>
      </c>
      <c r="R29" s="176">
        <v>3</v>
      </c>
      <c r="S29" s="177">
        <v>1285000</v>
      </c>
    </row>
    <row r="30" spans="1:19" ht="14.25" outlineLevel="1">
      <c r="A30" s="28"/>
      <c r="B30" s="28"/>
      <c r="R30" s="176">
        <v>4</v>
      </c>
      <c r="S30" s="177">
        <v>1150000</v>
      </c>
    </row>
    <row r="31" spans="1:19" ht="14.25" outlineLevel="1">
      <c r="A31" s="28"/>
      <c r="B31" s="28"/>
      <c r="R31" s="176">
        <v>5</v>
      </c>
      <c r="S31" s="177">
        <v>1400000</v>
      </c>
    </row>
    <row r="32" spans="1:19" ht="14.25" outlineLevel="1">
      <c r="A32" s="28"/>
      <c r="B32" s="28"/>
      <c r="R32" s="176">
        <v>6</v>
      </c>
      <c r="S32" s="177">
        <v>1280000</v>
      </c>
    </row>
    <row r="33" spans="1:20" ht="14.25" outlineLevel="1">
      <c r="A33" s="28"/>
      <c r="B33" s="28"/>
      <c r="R33" s="178">
        <v>7</v>
      </c>
      <c r="S33" s="179">
        <v>1300000</v>
      </c>
    </row>
    <row r="34" spans="1:20" ht="14.25" outlineLevel="1">
      <c r="A34" s="28"/>
      <c r="B34" s="28"/>
      <c r="R34" s="180" t="s">
        <v>756</v>
      </c>
      <c r="S34" s="181">
        <f>AVERAGE(S27:S33)</f>
        <v>1187857.142857143</v>
      </c>
      <c r="T34" t="str">
        <f>FORMULATEXT(S34)</f>
        <v>=PROMEDIO(S27:S33)</v>
      </c>
    </row>
    <row r="35" spans="1:20" ht="28.5" outlineLevel="1">
      <c r="A35" s="28"/>
      <c r="B35" s="28"/>
      <c r="R35" s="180" t="s">
        <v>901</v>
      </c>
      <c r="S35" s="181">
        <f>STDEV(S27:S34)</f>
        <v>166944.32653811589</v>
      </c>
      <c r="T35" t="str">
        <f>FORMULATEXT(S35)</f>
        <v>=DESVEST(S27:S34)</v>
      </c>
    </row>
    <row r="36" spans="1:20" outlineLevel="1">
      <c r="A36" s="28"/>
      <c r="B36" s="28"/>
    </row>
    <row r="37" spans="1:20" ht="14.25" outlineLevel="1">
      <c r="A37" s="28"/>
      <c r="B37" s="28"/>
      <c r="R37" s="182" t="s">
        <v>2</v>
      </c>
      <c r="S37" s="183">
        <v>1000000</v>
      </c>
    </row>
    <row r="38" spans="1:20" outlineLevel="1">
      <c r="A38" s="28"/>
      <c r="B38" s="28"/>
    </row>
    <row r="39" spans="1:20" ht="28.5">
      <c r="A39" s="28"/>
      <c r="B39" s="28"/>
      <c r="R39" s="182" t="s">
        <v>902</v>
      </c>
      <c r="S39" s="184">
        <f>NORMDIST(S37,S34,S35,TRUE)</f>
        <v>0.13023769908191984</v>
      </c>
      <c r="T39" t="str">
        <f>FORMULATEXT(S39)</f>
        <v>=DISTR.NORM(S37;S34;S35;VERDADERO)</v>
      </c>
    </row>
    <row r="40" spans="1:20">
      <c r="A40" s="28" t="s">
        <v>12</v>
      </c>
      <c r="B40" s="28"/>
      <c r="C40" s="1">
        <v>1</v>
      </c>
      <c r="D40" s="1">
        <v>2</v>
      </c>
      <c r="E40" s="1">
        <v>3</v>
      </c>
      <c r="F40" s="1">
        <v>4</v>
      </c>
      <c r="G40" s="1">
        <v>5</v>
      </c>
      <c r="H40" s="1">
        <v>6</v>
      </c>
      <c r="I40" s="1">
        <v>7</v>
      </c>
      <c r="J40" s="1">
        <v>8</v>
      </c>
      <c r="K40" s="1">
        <v>9</v>
      </c>
      <c r="L40" s="1">
        <v>10</v>
      </c>
    </row>
    <row r="41" spans="1:20">
      <c r="A41" s="28" t="s">
        <v>2</v>
      </c>
      <c r="B41" s="38">
        <v>1</v>
      </c>
      <c r="C41" s="2">
        <f>B4</f>
        <v>1000000</v>
      </c>
      <c r="D41" s="2">
        <f>C41*(1+D5)*(1+D6)</f>
        <v>1430000</v>
      </c>
      <c r="E41" s="2">
        <f t="shared" ref="E41:L41" si="2">D41*(1+E5)*(1+E6)</f>
        <v>1743169.9999999998</v>
      </c>
      <c r="F41" s="2">
        <f t="shared" si="2"/>
        <v>1940148.21</v>
      </c>
      <c r="G41" s="2">
        <f t="shared" si="2"/>
        <v>2159384.9577300004</v>
      </c>
      <c r="H41" s="2">
        <f t="shared" si="2"/>
        <v>2403395.4579534908</v>
      </c>
      <c r="I41" s="2">
        <f t="shared" si="2"/>
        <v>2674979.1447022357</v>
      </c>
      <c r="J41" s="2">
        <f t="shared" si="2"/>
        <v>2977251.7880535885</v>
      </c>
      <c r="K41" s="2">
        <f t="shared" si="2"/>
        <v>3313681.2401036443</v>
      </c>
      <c r="L41" s="2">
        <f t="shared" si="2"/>
        <v>3688127.2202353566</v>
      </c>
      <c r="R41" s="185" t="s">
        <v>903</v>
      </c>
      <c r="S41" s="186">
        <f>1-S39</f>
        <v>0.86976230091808016</v>
      </c>
      <c r="T41" t="str">
        <f>FORMULATEXT(S41)</f>
        <v>=1-S39</v>
      </c>
    </row>
    <row r="42" spans="1:20" outlineLevel="1">
      <c r="A42" s="28" t="s">
        <v>13</v>
      </c>
      <c r="B42" s="38"/>
      <c r="C42" s="2"/>
      <c r="D42" s="2">
        <f>C45</f>
        <v>96666.666666666672</v>
      </c>
      <c r="E42" s="2">
        <f t="shared" ref="E42:L42" si="3">D45</f>
        <v>138233.33333333334</v>
      </c>
      <c r="F42" s="2">
        <f t="shared" si="3"/>
        <v>168506.43333333329</v>
      </c>
      <c r="G42" s="2">
        <f t="shared" si="3"/>
        <v>187547.66029999999</v>
      </c>
      <c r="H42" s="2">
        <f t="shared" si="3"/>
        <v>208740.54591390002</v>
      </c>
      <c r="I42" s="2">
        <f t="shared" si="3"/>
        <v>232328.22760217075</v>
      </c>
      <c r="J42" s="2">
        <f t="shared" si="3"/>
        <v>258581.31732121611</v>
      </c>
      <c r="K42" s="2">
        <f t="shared" si="3"/>
        <v>287801.00617851352</v>
      </c>
      <c r="L42" s="2">
        <f t="shared" si="3"/>
        <v>320322.51987668563</v>
      </c>
    </row>
    <row r="43" spans="1:20" outlineLevel="1">
      <c r="A43" s="28" t="s">
        <v>14</v>
      </c>
      <c r="B43" s="38">
        <v>4</v>
      </c>
      <c r="C43" s="2">
        <f>C46+C45-C42</f>
        <v>676666.66666666663</v>
      </c>
      <c r="D43" s="2">
        <f>D46+D45-D42</f>
        <v>870966.66666666674</v>
      </c>
      <c r="E43" s="2">
        <f t="shared" ref="E43:L43" si="4">E46+E45-E42</f>
        <v>1041311.6999999996</v>
      </c>
      <c r="F43" s="2">
        <f t="shared" si="4"/>
        <v>1144327.1887666665</v>
      </c>
      <c r="G43" s="2">
        <f t="shared" si="4"/>
        <v>1273636.1610973002</v>
      </c>
      <c r="H43" s="2">
        <f t="shared" si="4"/>
        <v>1417557.0473012952</v>
      </c>
      <c r="I43" s="2">
        <f t="shared" si="4"/>
        <v>1577740.9936463418</v>
      </c>
      <c r="J43" s="2">
        <f t="shared" si="4"/>
        <v>1756025.7259283783</v>
      </c>
      <c r="K43" s="2">
        <f t="shared" si="4"/>
        <v>1954456.6329582855</v>
      </c>
      <c r="L43" s="2">
        <f t="shared" si="4"/>
        <v>2175310.2324825726</v>
      </c>
    </row>
    <row r="44" spans="1:20" outlineLevel="1">
      <c r="A44" s="28" t="s">
        <v>15</v>
      </c>
      <c r="B44" s="38">
        <v>5</v>
      </c>
      <c r="C44" s="2">
        <f>C42+C43</f>
        <v>676666.66666666663</v>
      </c>
      <c r="D44" s="2">
        <f>D42+D43</f>
        <v>967633.33333333337</v>
      </c>
      <c r="E44" s="2">
        <f t="shared" ref="E44:L44" si="5">E42+E43</f>
        <v>1179545.033333333</v>
      </c>
      <c r="F44" s="2">
        <f t="shared" si="5"/>
        <v>1312833.6220999998</v>
      </c>
      <c r="G44" s="2">
        <f t="shared" si="5"/>
        <v>1461183.8213973003</v>
      </c>
      <c r="H44" s="2">
        <f t="shared" si="5"/>
        <v>1626297.5932151952</v>
      </c>
      <c r="I44" s="2">
        <f t="shared" si="5"/>
        <v>1810069.2212485126</v>
      </c>
      <c r="J44" s="2">
        <f t="shared" si="5"/>
        <v>2014607.0432495945</v>
      </c>
      <c r="K44" s="2">
        <f t="shared" si="5"/>
        <v>2242257.6391367991</v>
      </c>
      <c r="L44" s="2">
        <f t="shared" si="5"/>
        <v>2495632.752359258</v>
      </c>
    </row>
    <row r="45" spans="1:20" outlineLevel="1">
      <c r="A45" s="28" t="s">
        <v>16</v>
      </c>
      <c r="B45" s="38">
        <v>3</v>
      </c>
      <c r="C45" s="2">
        <f>C46/$B$8</f>
        <v>96666.666666666672</v>
      </c>
      <c r="D45" s="2">
        <f>D46/$B$8</f>
        <v>138233.33333333334</v>
      </c>
      <c r="E45" s="2">
        <f t="shared" ref="E45:L45" si="6">E46/$B$8</f>
        <v>168506.43333333329</v>
      </c>
      <c r="F45" s="2">
        <f t="shared" si="6"/>
        <v>187547.66029999999</v>
      </c>
      <c r="G45" s="2">
        <f t="shared" si="6"/>
        <v>208740.54591390002</v>
      </c>
      <c r="H45" s="2">
        <f t="shared" si="6"/>
        <v>232328.22760217075</v>
      </c>
      <c r="I45" s="2">
        <f t="shared" si="6"/>
        <v>258581.31732121611</v>
      </c>
      <c r="J45" s="2">
        <f t="shared" si="6"/>
        <v>287801.00617851352</v>
      </c>
      <c r="K45" s="2">
        <f t="shared" si="6"/>
        <v>320322.51987668563</v>
      </c>
      <c r="L45" s="2">
        <f t="shared" si="6"/>
        <v>356518.96462275111</v>
      </c>
    </row>
    <row r="46" spans="1:20" outlineLevel="1">
      <c r="A46" s="28" t="s">
        <v>5</v>
      </c>
      <c r="B46" s="38">
        <v>2</v>
      </c>
      <c r="C46" s="2">
        <f>$B$7*C41</f>
        <v>580000</v>
      </c>
      <c r="D46" s="2">
        <f>$B$7*D41</f>
        <v>829400</v>
      </c>
      <c r="E46" s="2">
        <f t="shared" ref="E46:L46" si="7">$B$7*E41</f>
        <v>1011038.5999999997</v>
      </c>
      <c r="F46" s="2">
        <f t="shared" si="7"/>
        <v>1125285.9617999999</v>
      </c>
      <c r="G46" s="2">
        <f t="shared" si="7"/>
        <v>1252443.2754834001</v>
      </c>
      <c r="H46" s="2">
        <f t="shared" si="7"/>
        <v>1393969.3656130244</v>
      </c>
      <c r="I46" s="2">
        <f t="shared" si="7"/>
        <v>1551487.9039272966</v>
      </c>
      <c r="J46" s="2">
        <f t="shared" si="7"/>
        <v>1726806.0370710811</v>
      </c>
      <c r="K46" s="2">
        <f t="shared" si="7"/>
        <v>1921935.1192601137</v>
      </c>
      <c r="L46" s="2">
        <f t="shared" si="7"/>
        <v>2139113.7877365067</v>
      </c>
    </row>
    <row r="47" spans="1:20">
      <c r="A47" s="28" t="s">
        <v>17</v>
      </c>
      <c r="B47" s="38">
        <v>6</v>
      </c>
      <c r="C47" s="2">
        <f>C41-C46</f>
        <v>420000</v>
      </c>
      <c r="D47" s="2">
        <f>D41-D46</f>
        <v>600600</v>
      </c>
      <c r="E47" s="2">
        <f t="shared" ref="E47:L47" si="8">E41-E46</f>
        <v>732131.4</v>
      </c>
      <c r="F47" s="2">
        <f t="shared" si="8"/>
        <v>814862.24820000003</v>
      </c>
      <c r="G47" s="2">
        <f t="shared" si="8"/>
        <v>906941.68224660028</v>
      </c>
      <c r="H47" s="2">
        <f t="shared" si="8"/>
        <v>1009426.0923404663</v>
      </c>
      <c r="I47" s="2">
        <f t="shared" si="8"/>
        <v>1123491.2407749391</v>
      </c>
      <c r="J47" s="2">
        <f t="shared" si="8"/>
        <v>1250445.7509825074</v>
      </c>
      <c r="K47" s="2">
        <f t="shared" si="8"/>
        <v>1391746.1208435306</v>
      </c>
      <c r="L47" s="2">
        <f t="shared" si="8"/>
        <v>1549013.4324988499</v>
      </c>
    </row>
    <row r="48" spans="1:20" outlineLevel="1">
      <c r="A48" s="28" t="s">
        <v>7</v>
      </c>
      <c r="B48" s="38">
        <v>7</v>
      </c>
      <c r="C48" s="2">
        <f>B9</f>
        <v>100000</v>
      </c>
      <c r="D48" s="2">
        <f>C48*(1+D10)</f>
        <v>104000</v>
      </c>
      <c r="E48" s="2">
        <f t="shared" ref="E48:L48" si="9">D48*(1+E10)</f>
        <v>108160</v>
      </c>
      <c r="F48" s="2">
        <f t="shared" si="9"/>
        <v>112486.40000000001</v>
      </c>
      <c r="G48" s="2">
        <f t="shared" si="9"/>
        <v>116985.85600000001</v>
      </c>
      <c r="H48" s="2">
        <f t="shared" si="9"/>
        <v>121665.29024000002</v>
      </c>
      <c r="I48" s="2">
        <f t="shared" si="9"/>
        <v>126531.90184960002</v>
      </c>
      <c r="J48" s="2">
        <f t="shared" si="9"/>
        <v>131593.17792358404</v>
      </c>
      <c r="K48" s="2">
        <f t="shared" si="9"/>
        <v>136856.9050405274</v>
      </c>
      <c r="L48" s="2">
        <f t="shared" si="9"/>
        <v>142331.18124214851</v>
      </c>
    </row>
    <row r="49" spans="1:12" outlineLevel="1">
      <c r="A49" s="28" t="s">
        <v>18</v>
      </c>
      <c r="B49" s="38">
        <v>8</v>
      </c>
      <c r="C49" s="2">
        <f>IF($B$13&gt;=C40,$B$12/$B$13,0)</f>
        <v>25000</v>
      </c>
      <c r="D49" s="2">
        <f>IF($B$13&gt;=D40,$B$12/$B$13,0)</f>
        <v>25000</v>
      </c>
      <c r="E49" s="2">
        <f t="shared" ref="E49:L49" si="10">IF($B$13&gt;=E40,$B$12/$B$13,0)</f>
        <v>25000</v>
      </c>
      <c r="F49" s="2">
        <f t="shared" si="10"/>
        <v>25000</v>
      </c>
      <c r="G49" s="2">
        <f t="shared" si="10"/>
        <v>25000</v>
      </c>
      <c r="H49" s="2">
        <f t="shared" si="10"/>
        <v>25000</v>
      </c>
      <c r="I49" s="2">
        <f t="shared" si="10"/>
        <v>25000</v>
      </c>
      <c r="J49" s="2">
        <f t="shared" si="10"/>
        <v>25000</v>
      </c>
      <c r="K49" s="2">
        <f t="shared" si="10"/>
        <v>25000</v>
      </c>
      <c r="L49" s="2">
        <f t="shared" si="10"/>
        <v>25000</v>
      </c>
    </row>
    <row r="50" spans="1:12" outlineLevel="1">
      <c r="A50" s="28" t="s">
        <v>9</v>
      </c>
      <c r="B50" s="38">
        <v>9</v>
      </c>
      <c r="C50" s="2">
        <f>$B$11*C41</f>
        <v>60000</v>
      </c>
      <c r="D50" s="2">
        <f>$B$11*D41</f>
        <v>85800</v>
      </c>
      <c r="E50" s="2">
        <f t="shared" ref="E50:L50" si="11">$B$11*E41</f>
        <v>104590.19999999998</v>
      </c>
      <c r="F50" s="2">
        <f t="shared" si="11"/>
        <v>116408.89259999999</v>
      </c>
      <c r="G50" s="2">
        <f t="shared" si="11"/>
        <v>129563.09746380002</v>
      </c>
      <c r="H50" s="2">
        <f t="shared" si="11"/>
        <v>144203.72747720944</v>
      </c>
      <c r="I50" s="2">
        <f t="shared" si="11"/>
        <v>160498.74868213414</v>
      </c>
      <c r="J50" s="2">
        <f t="shared" si="11"/>
        <v>178635.1072832153</v>
      </c>
      <c r="K50" s="2">
        <f t="shared" si="11"/>
        <v>198820.87440621865</v>
      </c>
      <c r="L50" s="2">
        <f t="shared" si="11"/>
        <v>221287.63321412139</v>
      </c>
    </row>
    <row r="51" spans="1:12">
      <c r="A51" s="28" t="s">
        <v>19</v>
      </c>
      <c r="B51" s="38">
        <v>10</v>
      </c>
      <c r="C51" s="2">
        <f>C47-SUM(C48:C50)</f>
        <v>235000</v>
      </c>
      <c r="D51" s="2">
        <f>D47-SUM(D48:D50)</f>
        <v>385800</v>
      </c>
      <c r="E51" s="2">
        <f t="shared" ref="E51:L51" si="12">E47-SUM(E48:E50)</f>
        <v>494381.20000000007</v>
      </c>
      <c r="F51" s="2">
        <f t="shared" si="12"/>
        <v>560966.95559999999</v>
      </c>
      <c r="G51" s="2">
        <f t="shared" si="12"/>
        <v>635392.72878280026</v>
      </c>
      <c r="H51" s="2">
        <f t="shared" si="12"/>
        <v>718557.07462325692</v>
      </c>
      <c r="I51" s="2">
        <f t="shared" si="12"/>
        <v>811460.59024320496</v>
      </c>
      <c r="J51" s="2">
        <f t="shared" si="12"/>
        <v>915217.46577570797</v>
      </c>
      <c r="K51" s="2">
        <f t="shared" si="12"/>
        <v>1031068.3413967846</v>
      </c>
      <c r="L51" s="2">
        <f t="shared" si="12"/>
        <v>1160394.6180425801</v>
      </c>
    </row>
    <row r="52" spans="1:12" outlineLevel="1">
      <c r="A52" s="28" t="s">
        <v>20</v>
      </c>
      <c r="B52" s="38">
        <v>23</v>
      </c>
      <c r="C52" s="2">
        <f>$B$15*C17+B25*C17</f>
        <v>31223.88888888888</v>
      </c>
      <c r="D52" s="2">
        <f>$B$15*D17</f>
        <v>24086.999999999993</v>
      </c>
      <c r="E52" s="2">
        <f t="shared" ref="E52:L52" si="13">$B$15*E17</f>
        <v>21410.666666666657</v>
      </c>
      <c r="F52" s="2">
        <f t="shared" si="13"/>
        <v>18734.333333333325</v>
      </c>
      <c r="G52" s="2">
        <f t="shared" si="13"/>
        <v>16057.999999999991</v>
      </c>
      <c r="H52" s="2">
        <f t="shared" si="13"/>
        <v>13381.666666666657</v>
      </c>
      <c r="I52" s="2">
        <f t="shared" si="13"/>
        <v>10705.333333333325</v>
      </c>
      <c r="J52" s="2">
        <f t="shared" si="13"/>
        <v>8028.99999999999</v>
      </c>
      <c r="K52" s="2">
        <f t="shared" si="13"/>
        <v>5352.6666666666579</v>
      </c>
      <c r="L52" s="2">
        <f t="shared" si="13"/>
        <v>2676.3333333333248</v>
      </c>
    </row>
    <row r="53" spans="1:12" outlineLevel="1">
      <c r="A53" s="28" t="s">
        <v>21</v>
      </c>
      <c r="B53" s="38">
        <v>24</v>
      </c>
      <c r="C53" s="2">
        <f>C51-C52</f>
        <v>203776.11111111112</v>
      </c>
      <c r="D53" s="2">
        <f>D51-D52</f>
        <v>361713</v>
      </c>
      <c r="E53" s="2">
        <f t="shared" ref="E53:L53" si="14">E51-E52</f>
        <v>472970.53333333344</v>
      </c>
      <c r="F53" s="2">
        <f t="shared" si="14"/>
        <v>542232.62226666661</v>
      </c>
      <c r="G53" s="2">
        <f t="shared" si="14"/>
        <v>619334.72878280026</v>
      </c>
      <c r="H53" s="2">
        <f t="shared" si="14"/>
        <v>705175.40795659029</v>
      </c>
      <c r="I53" s="2">
        <f t="shared" si="14"/>
        <v>800755.25690987159</v>
      </c>
      <c r="J53" s="2">
        <f t="shared" si="14"/>
        <v>907188.46577570797</v>
      </c>
      <c r="K53" s="2">
        <f t="shared" si="14"/>
        <v>1025715.674730118</v>
      </c>
      <c r="L53" s="2">
        <f t="shared" si="14"/>
        <v>1157718.2847092468</v>
      </c>
    </row>
    <row r="54" spans="1:12" outlineLevel="1">
      <c r="A54" s="28" t="s">
        <v>22</v>
      </c>
      <c r="B54" s="38">
        <v>25</v>
      </c>
      <c r="C54" s="2">
        <f>IF(C53&gt;0,C53*C23,0)</f>
        <v>69283.877777777787</v>
      </c>
      <c r="D54" s="2">
        <f>MAX(D53,3%*C108)*D23</f>
        <v>119365.29000000001</v>
      </c>
      <c r="E54" s="2">
        <f t="shared" ref="E54:L54" si="15">MAX(E53,3%*D108)*E23</f>
        <v>156080.27600000004</v>
      </c>
      <c r="F54" s="2">
        <f t="shared" si="15"/>
        <v>178936.76534799999</v>
      </c>
      <c r="G54" s="2">
        <f t="shared" si="15"/>
        <v>204380.4604983241</v>
      </c>
      <c r="H54" s="2">
        <f t="shared" si="15"/>
        <v>232707.88462567481</v>
      </c>
      <c r="I54" s="2">
        <f t="shared" si="15"/>
        <v>264249.23478025763</v>
      </c>
      <c r="J54" s="2">
        <f t="shared" si="15"/>
        <v>299372.19370598363</v>
      </c>
      <c r="K54" s="2">
        <f t="shared" si="15"/>
        <v>338486.17266093899</v>
      </c>
      <c r="L54" s="2">
        <f t="shared" si="15"/>
        <v>382047.0339540515</v>
      </c>
    </row>
    <row r="55" spans="1:12">
      <c r="A55" s="28" t="s">
        <v>23</v>
      </c>
      <c r="B55" s="38">
        <v>26</v>
      </c>
      <c r="C55" s="142">
        <f>C53-C54</f>
        <v>134492.23333333334</v>
      </c>
      <c r="D55" s="2">
        <f>D53-D54</f>
        <v>242347.71</v>
      </c>
      <c r="E55" s="2">
        <f t="shared" ref="E55:L55" si="16">E53-E54</f>
        <v>316890.25733333337</v>
      </c>
      <c r="F55" s="2">
        <f t="shared" si="16"/>
        <v>363295.85691866663</v>
      </c>
      <c r="G55" s="2">
        <f t="shared" si="16"/>
        <v>414954.26828447613</v>
      </c>
      <c r="H55" s="2">
        <f t="shared" si="16"/>
        <v>472467.52333091549</v>
      </c>
      <c r="I55" s="2">
        <f t="shared" si="16"/>
        <v>536506.02212961391</v>
      </c>
      <c r="J55" s="2">
        <f t="shared" si="16"/>
        <v>607816.27206972428</v>
      </c>
      <c r="K55" s="2">
        <f t="shared" si="16"/>
        <v>687229.50206917897</v>
      </c>
      <c r="L55" s="2">
        <f t="shared" si="16"/>
        <v>775671.25075519527</v>
      </c>
    </row>
    <row r="56" spans="1:12">
      <c r="A56" s="28"/>
      <c r="B56" s="28"/>
    </row>
    <row r="57" spans="1:12">
      <c r="A57" s="28" t="s">
        <v>24</v>
      </c>
      <c r="B57" s="28"/>
      <c r="C57" s="1">
        <f>C40</f>
        <v>1</v>
      </c>
      <c r="D57" s="1">
        <f t="shared" ref="D57:L57" si="17">D40</f>
        <v>2</v>
      </c>
      <c r="E57" s="1">
        <f t="shared" si="17"/>
        <v>3</v>
      </c>
      <c r="F57" s="1">
        <f t="shared" si="17"/>
        <v>4</v>
      </c>
      <c r="G57" s="1">
        <f t="shared" si="17"/>
        <v>5</v>
      </c>
      <c r="H57" s="1">
        <f t="shared" si="17"/>
        <v>6</v>
      </c>
      <c r="I57" s="1">
        <f t="shared" si="17"/>
        <v>7</v>
      </c>
      <c r="J57" s="1">
        <f t="shared" si="17"/>
        <v>8</v>
      </c>
      <c r="K57" s="1">
        <f t="shared" si="17"/>
        <v>9</v>
      </c>
      <c r="L57" s="1">
        <f t="shared" si="17"/>
        <v>10</v>
      </c>
    </row>
    <row r="58" spans="1:12" ht="13.5" customHeight="1" outlineLevel="1">
      <c r="A58" s="28" t="s">
        <v>25</v>
      </c>
      <c r="B58" s="28"/>
    </row>
    <row r="59" spans="1:12" outlineLevel="1">
      <c r="A59" s="28" t="s">
        <v>19</v>
      </c>
      <c r="B59" s="38">
        <v>27</v>
      </c>
      <c r="C59" s="2">
        <f>C51</f>
        <v>235000</v>
      </c>
      <c r="D59" s="2">
        <f>D51</f>
        <v>385800</v>
      </c>
      <c r="E59" s="2">
        <f t="shared" ref="E59:L59" si="18">E51</f>
        <v>494381.20000000007</v>
      </c>
      <c r="F59" s="2">
        <f t="shared" si="18"/>
        <v>560966.95559999999</v>
      </c>
      <c r="G59" s="2">
        <f t="shared" si="18"/>
        <v>635392.72878280026</v>
      </c>
      <c r="H59" s="2">
        <f t="shared" si="18"/>
        <v>718557.07462325692</v>
      </c>
      <c r="I59" s="2">
        <f t="shared" si="18"/>
        <v>811460.59024320496</v>
      </c>
      <c r="J59" s="2">
        <f t="shared" si="18"/>
        <v>915217.46577570797</v>
      </c>
      <c r="K59" s="2">
        <f t="shared" si="18"/>
        <v>1031068.3413967846</v>
      </c>
      <c r="L59" s="2">
        <f t="shared" si="18"/>
        <v>1160394.6180425801</v>
      </c>
    </row>
    <row r="60" spans="1:12" outlineLevel="1">
      <c r="A60" s="28" t="s">
        <v>26</v>
      </c>
      <c r="B60" s="38">
        <v>28</v>
      </c>
      <c r="C60" s="2">
        <f>C49</f>
        <v>25000</v>
      </c>
      <c r="D60" s="2">
        <f>D49</f>
        <v>25000</v>
      </c>
      <c r="E60" s="2">
        <f t="shared" ref="E60:L60" si="19">E49</f>
        <v>25000</v>
      </c>
      <c r="F60" s="2">
        <f t="shared" si="19"/>
        <v>25000</v>
      </c>
      <c r="G60" s="2">
        <f t="shared" si="19"/>
        <v>25000</v>
      </c>
      <c r="H60" s="2">
        <f t="shared" si="19"/>
        <v>25000</v>
      </c>
      <c r="I60" s="2">
        <f t="shared" si="19"/>
        <v>25000</v>
      </c>
      <c r="J60" s="2">
        <f t="shared" si="19"/>
        <v>25000</v>
      </c>
      <c r="K60" s="2">
        <f t="shared" si="19"/>
        <v>25000</v>
      </c>
      <c r="L60" s="2">
        <f t="shared" si="19"/>
        <v>25000</v>
      </c>
    </row>
    <row r="61" spans="1:12" outlineLevel="1">
      <c r="A61" s="43" t="s">
        <v>27</v>
      </c>
      <c r="B61" s="38">
        <v>18</v>
      </c>
      <c r="C61" s="2">
        <f>C43*$B$20/360</f>
        <v>140972.22222222222</v>
      </c>
      <c r="D61" s="2">
        <f>(D43-C43)*$B$20/360</f>
        <v>40479.166666666693</v>
      </c>
      <c r="E61" s="2">
        <f t="shared" ref="E61:L61" si="20">(E43-D43)*$B$20/360</f>
        <v>35488.548611111015</v>
      </c>
      <c r="F61" s="2">
        <f t="shared" si="20"/>
        <v>21461.560159722259</v>
      </c>
      <c r="G61" s="2">
        <f t="shared" si="20"/>
        <v>26939.369235548704</v>
      </c>
      <c r="H61" s="2">
        <f t="shared" si="20"/>
        <v>29983.51795916562</v>
      </c>
      <c r="I61" s="2">
        <f t="shared" si="20"/>
        <v>33371.655488551383</v>
      </c>
      <c r="J61" s="2">
        <f t="shared" si="20"/>
        <v>37142.652558757589</v>
      </c>
      <c r="K61" s="2">
        <f t="shared" si="20"/>
        <v>41339.772297897332</v>
      </c>
      <c r="L61" s="2">
        <f t="shared" si="20"/>
        <v>46011.166567559798</v>
      </c>
    </row>
    <row r="62" spans="1:12" outlineLevel="1">
      <c r="A62" s="28" t="s">
        <v>28</v>
      </c>
      <c r="B62" s="38">
        <v>17</v>
      </c>
      <c r="C62" s="2">
        <f>(1-B14)*C72</f>
        <v>156000.00000000003</v>
      </c>
      <c r="D62" s="2"/>
      <c r="E62" s="2"/>
      <c r="F62" s="2"/>
      <c r="G62" s="2"/>
      <c r="H62" s="2"/>
      <c r="I62" s="2"/>
      <c r="J62" s="2"/>
      <c r="K62" s="2"/>
      <c r="L62" s="2"/>
    </row>
    <row r="63" spans="1:12" outlineLevel="1">
      <c r="A63" s="28" t="s">
        <v>29</v>
      </c>
      <c r="B63" s="38">
        <v>19</v>
      </c>
      <c r="C63" s="2">
        <f>IF(C72-C61-C62&lt;0,0,C72-C61-C62)</f>
        <v>223027.77777777772</v>
      </c>
      <c r="D63" s="2"/>
      <c r="E63" s="2"/>
      <c r="F63" s="2"/>
      <c r="G63" s="2"/>
      <c r="H63" s="2"/>
      <c r="I63" s="2"/>
      <c r="J63" s="2"/>
      <c r="K63" s="2"/>
      <c r="L63" s="2"/>
    </row>
    <row r="64" spans="1:12">
      <c r="A64" s="7" t="s">
        <v>871</v>
      </c>
      <c r="B64" s="38">
        <v>29</v>
      </c>
      <c r="C64" s="2">
        <f>SUM(C59:C63)</f>
        <v>780000</v>
      </c>
      <c r="D64" s="2">
        <f>SUM(D59:D63)</f>
        <v>451279.16666666669</v>
      </c>
      <c r="E64" s="2">
        <f t="shared" ref="E64:L64" si="21">SUM(E59:E63)</f>
        <v>554869.74861111108</v>
      </c>
      <c r="F64" s="2">
        <f t="shared" si="21"/>
        <v>607428.51575972221</v>
      </c>
      <c r="G64" s="2">
        <f t="shared" si="21"/>
        <v>687332.09801834892</v>
      </c>
      <c r="H64" s="2">
        <f t="shared" si="21"/>
        <v>773540.59258242254</v>
      </c>
      <c r="I64" s="2">
        <f t="shared" si="21"/>
        <v>869832.24573175632</v>
      </c>
      <c r="J64" s="2">
        <f t="shared" si="21"/>
        <v>977360.11833446554</v>
      </c>
      <c r="K64" s="2">
        <f t="shared" si="21"/>
        <v>1097408.113694682</v>
      </c>
      <c r="L64" s="2">
        <f t="shared" si="21"/>
        <v>1231405.7846101399</v>
      </c>
    </row>
    <row r="65" spans="1:13" outlineLevel="1">
      <c r="A65" s="28"/>
      <c r="B65" s="28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1:13" outlineLevel="1">
      <c r="A66" s="28" t="s">
        <v>30</v>
      </c>
      <c r="B66" s="28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1:13" outlineLevel="1">
      <c r="A67" s="43" t="s">
        <v>31</v>
      </c>
      <c r="B67" s="38">
        <v>11</v>
      </c>
      <c r="C67" s="2">
        <f>(C48+C50)/360*MIN(B22:C22)</f>
        <v>6666.666666666667</v>
      </c>
      <c r="D67" s="2"/>
      <c r="E67" s="2"/>
      <c r="F67" s="2"/>
      <c r="G67" s="2"/>
      <c r="H67" s="2"/>
      <c r="I67" s="2"/>
      <c r="J67" s="2"/>
      <c r="K67" s="2"/>
      <c r="L67" s="2"/>
    </row>
    <row r="68" spans="1:13" outlineLevel="1">
      <c r="A68" s="43" t="s">
        <v>32</v>
      </c>
      <c r="B68" s="38">
        <v>12</v>
      </c>
      <c r="C68" s="2">
        <f>C41/360*$B$21</f>
        <v>166666.66666666666</v>
      </c>
      <c r="D68" s="2">
        <f>(D41-C41)/360*$B$21</f>
        <v>71666.666666666657</v>
      </c>
      <c r="E68" s="2">
        <f t="shared" ref="E68:L68" si="22">(E41-D41)/360*$B$21</f>
        <v>52194.999999999964</v>
      </c>
      <c r="F68" s="2">
        <f t="shared" si="22"/>
        <v>32829.701666666697</v>
      </c>
      <c r="G68" s="2">
        <f t="shared" si="22"/>
        <v>36539.457955000071</v>
      </c>
      <c r="H68" s="2">
        <f t="shared" si="22"/>
        <v>40668.416703915071</v>
      </c>
      <c r="I68" s="2">
        <f t="shared" si="22"/>
        <v>45263.947791457482</v>
      </c>
      <c r="J68" s="2">
        <f t="shared" si="22"/>
        <v>50378.773891892131</v>
      </c>
      <c r="K68" s="2">
        <f t="shared" si="22"/>
        <v>56071.575341675969</v>
      </c>
      <c r="L68" s="2">
        <f t="shared" si="22"/>
        <v>62407.663355285382</v>
      </c>
    </row>
    <row r="69" spans="1:13" outlineLevel="1">
      <c r="A69" s="43" t="s">
        <v>33</v>
      </c>
      <c r="B69" s="38">
        <v>13</v>
      </c>
      <c r="C69" s="2">
        <f>C46/$B$8</f>
        <v>96666.666666666672</v>
      </c>
      <c r="D69" s="2">
        <f>D45-D42</f>
        <v>41566.666666666672</v>
      </c>
      <c r="E69" s="2">
        <f t="shared" ref="E69:L69" si="23">E45-E42</f>
        <v>30273.099999999948</v>
      </c>
      <c r="F69" s="2">
        <f t="shared" si="23"/>
        <v>19041.226966666698</v>
      </c>
      <c r="G69" s="2">
        <f t="shared" si="23"/>
        <v>21192.885613900027</v>
      </c>
      <c r="H69" s="2">
        <f t="shared" si="23"/>
        <v>23587.681688270735</v>
      </c>
      <c r="I69" s="2">
        <f t="shared" si="23"/>
        <v>26253.089719045354</v>
      </c>
      <c r="J69" s="2">
        <f t="shared" si="23"/>
        <v>29219.688857297413</v>
      </c>
      <c r="K69" s="2">
        <f t="shared" si="23"/>
        <v>32521.513698172115</v>
      </c>
      <c r="L69" s="2">
        <f t="shared" si="23"/>
        <v>36196.444746065477</v>
      </c>
    </row>
    <row r="70" spans="1:13" outlineLevel="1">
      <c r="A70" s="28" t="s">
        <v>34</v>
      </c>
      <c r="B70" s="38">
        <v>14</v>
      </c>
      <c r="C70" s="2">
        <f>SUM(C67:C69)</f>
        <v>270000</v>
      </c>
      <c r="D70" s="2">
        <f>SUM(D67:D69)</f>
        <v>113233.33333333333</v>
      </c>
      <c r="E70" s="2">
        <f t="shared" ref="E70:L70" si="24">SUM(E67:E69)</f>
        <v>82468.099999999919</v>
      </c>
      <c r="F70" s="2">
        <f t="shared" si="24"/>
        <v>51870.928633333395</v>
      </c>
      <c r="G70" s="2">
        <f t="shared" si="24"/>
        <v>57732.343568900098</v>
      </c>
      <c r="H70" s="2">
        <f t="shared" si="24"/>
        <v>64256.098392185806</v>
      </c>
      <c r="I70" s="2">
        <f t="shared" si="24"/>
        <v>71517.037510502836</v>
      </c>
      <c r="J70" s="2">
        <f t="shared" si="24"/>
        <v>79598.462749189552</v>
      </c>
      <c r="K70" s="2">
        <f t="shared" si="24"/>
        <v>88593.089039848084</v>
      </c>
      <c r="L70" s="2">
        <f t="shared" si="24"/>
        <v>98604.108101350866</v>
      </c>
    </row>
    <row r="71" spans="1:13" outlineLevel="1">
      <c r="A71" s="28" t="s">
        <v>35</v>
      </c>
      <c r="B71" s="38">
        <v>15</v>
      </c>
      <c r="C71" s="2">
        <f>B12</f>
        <v>250000</v>
      </c>
      <c r="D71" s="2"/>
      <c r="E71" s="2"/>
      <c r="F71" s="2"/>
      <c r="G71" s="2"/>
      <c r="H71" s="2"/>
      <c r="I71" s="2"/>
      <c r="J71" s="2"/>
      <c r="K71" s="2"/>
      <c r="L71" s="2"/>
    </row>
    <row r="72" spans="1:13" outlineLevel="1">
      <c r="A72" s="28" t="s">
        <v>36</v>
      </c>
      <c r="B72" s="38">
        <v>16</v>
      </c>
      <c r="C72" s="2">
        <f>C70+C71</f>
        <v>520000</v>
      </c>
      <c r="D72" s="2">
        <f>D70+D71</f>
        <v>113233.33333333333</v>
      </c>
      <c r="E72" s="2">
        <f t="shared" ref="E72:L72" si="25">E70+E71</f>
        <v>82468.099999999919</v>
      </c>
      <c r="F72" s="2">
        <f t="shared" si="25"/>
        <v>51870.928633333395</v>
      </c>
      <c r="G72" s="2">
        <f t="shared" si="25"/>
        <v>57732.343568900098</v>
      </c>
      <c r="H72" s="2">
        <f t="shared" si="25"/>
        <v>64256.098392185806</v>
      </c>
      <c r="I72" s="2">
        <f t="shared" si="25"/>
        <v>71517.037510502836</v>
      </c>
      <c r="J72" s="2">
        <f t="shared" si="25"/>
        <v>79598.462749189552</v>
      </c>
      <c r="K72" s="2">
        <f t="shared" si="25"/>
        <v>88593.089039848084</v>
      </c>
      <c r="L72" s="2">
        <f t="shared" si="25"/>
        <v>98604.108101350866</v>
      </c>
    </row>
    <row r="73" spans="1:13" outlineLevel="1">
      <c r="A73" s="28" t="s">
        <v>20</v>
      </c>
      <c r="B73" s="38">
        <v>30</v>
      </c>
      <c r="C73" s="2">
        <f>C52</f>
        <v>31223.88888888888</v>
      </c>
      <c r="D73" s="2">
        <f>D52</f>
        <v>24086.999999999993</v>
      </c>
      <c r="E73" s="2">
        <f t="shared" ref="E73:L73" si="26">E52</f>
        <v>21410.666666666657</v>
      </c>
      <c r="F73" s="2">
        <f t="shared" si="26"/>
        <v>18734.333333333325</v>
      </c>
      <c r="G73" s="2">
        <f t="shared" si="26"/>
        <v>16057.999999999991</v>
      </c>
      <c r="H73" s="2">
        <f t="shared" si="26"/>
        <v>13381.666666666657</v>
      </c>
      <c r="I73" s="2">
        <f t="shared" si="26"/>
        <v>10705.333333333325</v>
      </c>
      <c r="J73" s="2">
        <f t="shared" si="26"/>
        <v>8028.99999999999</v>
      </c>
      <c r="K73" s="2">
        <f t="shared" si="26"/>
        <v>5352.6666666666579</v>
      </c>
      <c r="L73" s="2">
        <f t="shared" si="26"/>
        <v>2676.3333333333248</v>
      </c>
    </row>
    <row r="74" spans="1:13" outlineLevel="1">
      <c r="A74" s="28" t="s">
        <v>37</v>
      </c>
      <c r="B74" s="28"/>
      <c r="C74" s="2"/>
      <c r="D74" s="2">
        <f>D18</f>
        <v>22302.777777777774</v>
      </c>
      <c r="E74" s="2">
        <f t="shared" ref="E74:M74" si="27">E18</f>
        <v>22302.777777777774</v>
      </c>
      <c r="F74" s="2">
        <f t="shared" si="27"/>
        <v>22302.777777777774</v>
      </c>
      <c r="G74" s="2">
        <f t="shared" si="27"/>
        <v>22302.777777777774</v>
      </c>
      <c r="H74" s="2">
        <f t="shared" si="27"/>
        <v>22302.777777777774</v>
      </c>
      <c r="I74" s="2">
        <f t="shared" si="27"/>
        <v>22302.777777777774</v>
      </c>
      <c r="J74" s="2">
        <f t="shared" si="27"/>
        <v>22302.777777777774</v>
      </c>
      <c r="K74" s="2">
        <f t="shared" si="27"/>
        <v>22302.777777777774</v>
      </c>
      <c r="L74" s="2">
        <f t="shared" si="27"/>
        <v>22302.777777777774</v>
      </c>
      <c r="M74" s="2">
        <f t="shared" si="27"/>
        <v>22302.777777777774</v>
      </c>
    </row>
    <row r="75" spans="1:13" outlineLevel="1">
      <c r="A75" s="28" t="s">
        <v>38</v>
      </c>
      <c r="B75" s="28"/>
      <c r="C75" s="2"/>
      <c r="D75" s="2">
        <f>IF(C55&gt;0,C55*90%*$B$24,0)</f>
        <v>36312.902999999998</v>
      </c>
      <c r="E75" s="2">
        <f t="shared" ref="E75:L75" si="28">IF(D55&gt;0,D55*90%*$B$24,0)</f>
        <v>65433.881699999991</v>
      </c>
      <c r="F75" s="2">
        <f t="shared" si="28"/>
        <v>85560.369480000008</v>
      </c>
      <c r="G75" s="2">
        <f t="shared" si="28"/>
        <v>98089.881368039991</v>
      </c>
      <c r="H75" s="2">
        <f t="shared" si="28"/>
        <v>112037.65243680855</v>
      </c>
      <c r="I75" s="2">
        <f t="shared" si="28"/>
        <v>127566.23129934719</v>
      </c>
      <c r="J75" s="2">
        <f t="shared" si="28"/>
        <v>144856.62597499575</v>
      </c>
      <c r="K75" s="2">
        <f t="shared" si="28"/>
        <v>164110.39345882554</v>
      </c>
      <c r="L75" s="2">
        <f t="shared" si="28"/>
        <v>185551.96555867835</v>
      </c>
    </row>
    <row r="76" spans="1:13" outlineLevel="1">
      <c r="A76" s="28" t="s">
        <v>22</v>
      </c>
      <c r="B76" s="28"/>
      <c r="C76" s="2"/>
      <c r="D76" s="2">
        <f>C54</f>
        <v>69283.877777777787</v>
      </c>
      <c r="E76" s="2">
        <f t="shared" ref="E76:L76" si="29">D54</f>
        <v>119365.29000000001</v>
      </c>
      <c r="F76" s="2">
        <f t="shared" si="29"/>
        <v>156080.27600000004</v>
      </c>
      <c r="G76" s="2">
        <f t="shared" si="29"/>
        <v>178936.76534799999</v>
      </c>
      <c r="H76" s="2">
        <f t="shared" si="29"/>
        <v>204380.4604983241</v>
      </c>
      <c r="I76" s="2">
        <f t="shared" si="29"/>
        <v>232707.88462567481</v>
      </c>
      <c r="J76" s="2">
        <f t="shared" si="29"/>
        <v>264249.23478025763</v>
      </c>
      <c r="K76" s="2">
        <f t="shared" si="29"/>
        <v>299372.19370598363</v>
      </c>
      <c r="L76" s="2">
        <f t="shared" si="29"/>
        <v>338486.17266093899</v>
      </c>
    </row>
    <row r="77" spans="1:13">
      <c r="A77" s="28" t="s">
        <v>347</v>
      </c>
      <c r="B77" s="38">
        <v>31</v>
      </c>
      <c r="C77" s="2">
        <f>SUM(C72:C76)</f>
        <v>551223.88888888888</v>
      </c>
      <c r="D77" s="2">
        <f>SUM(D72:D76)</f>
        <v>265219.8918888889</v>
      </c>
      <c r="E77" s="2">
        <f t="shared" ref="E77:L77" si="30">SUM(E72:E76)</f>
        <v>310980.71614444436</v>
      </c>
      <c r="F77" s="2">
        <f t="shared" si="30"/>
        <v>334548.68522444449</v>
      </c>
      <c r="G77" s="2">
        <f t="shared" si="30"/>
        <v>373119.76806271786</v>
      </c>
      <c r="H77" s="2">
        <f t="shared" si="30"/>
        <v>416358.65577176295</v>
      </c>
      <c r="I77" s="2">
        <f t="shared" si="30"/>
        <v>464799.26454663591</v>
      </c>
      <c r="J77" s="2">
        <f t="shared" si="30"/>
        <v>519036.10128222068</v>
      </c>
      <c r="K77" s="2">
        <f t="shared" si="30"/>
        <v>579731.12064910168</v>
      </c>
      <c r="L77" s="2">
        <f t="shared" si="30"/>
        <v>647621.35743207927</v>
      </c>
    </row>
    <row r="78" spans="1:13">
      <c r="A78" s="28"/>
      <c r="B78" s="38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3">
      <c r="A79" s="28" t="s">
        <v>39</v>
      </c>
      <c r="B79" s="38">
        <v>32</v>
      </c>
      <c r="C79" s="2">
        <f>C64-C77</f>
        <v>228776.11111111112</v>
      </c>
      <c r="D79" s="2">
        <f>D64-D77</f>
        <v>186059.27477777778</v>
      </c>
      <c r="E79" s="2">
        <f t="shared" ref="E79:L79" si="31">E64-E77</f>
        <v>243889.03246666671</v>
      </c>
      <c r="F79" s="2">
        <f t="shared" si="31"/>
        <v>272879.83053527772</v>
      </c>
      <c r="G79" s="2">
        <f t="shared" si="31"/>
        <v>314212.32995563105</v>
      </c>
      <c r="H79" s="2">
        <f t="shared" si="31"/>
        <v>357181.93681065959</v>
      </c>
      <c r="I79" s="2">
        <f t="shared" si="31"/>
        <v>405032.98118512041</v>
      </c>
      <c r="J79" s="2">
        <f t="shared" si="31"/>
        <v>458324.01705224486</v>
      </c>
      <c r="K79" s="2">
        <f t="shared" si="31"/>
        <v>517676.99304558034</v>
      </c>
      <c r="L79" s="2">
        <f t="shared" si="31"/>
        <v>583784.42717806064</v>
      </c>
    </row>
    <row r="80" spans="1:13">
      <c r="A80" s="28" t="s">
        <v>40</v>
      </c>
      <c r="B80" s="38">
        <v>33</v>
      </c>
      <c r="C80" s="142">
        <f>C67+C79</f>
        <v>235442.77777777778</v>
      </c>
      <c r="D80" s="2">
        <f>C80+D79</f>
        <v>421502.05255555559</v>
      </c>
      <c r="E80" s="2">
        <f t="shared" ref="E80:L80" si="32">D80+E79</f>
        <v>665391.08502222225</v>
      </c>
      <c r="F80" s="2">
        <f t="shared" si="32"/>
        <v>938270.91555749997</v>
      </c>
      <c r="G80" s="2">
        <f t="shared" si="32"/>
        <v>1252483.2455131309</v>
      </c>
      <c r="H80" s="2">
        <f t="shared" si="32"/>
        <v>1609665.1823237906</v>
      </c>
      <c r="I80" s="2">
        <f t="shared" si="32"/>
        <v>2014698.1635089112</v>
      </c>
      <c r="J80" s="2">
        <f t="shared" si="32"/>
        <v>2473022.180561156</v>
      </c>
      <c r="K80" s="2">
        <f t="shared" si="32"/>
        <v>2990699.1736067366</v>
      </c>
      <c r="L80" s="2">
        <f t="shared" si="32"/>
        <v>3574483.6007847972</v>
      </c>
    </row>
    <row r="81" spans="1:12">
      <c r="A81" s="28"/>
      <c r="B81" s="28"/>
      <c r="C81" s="2"/>
      <c r="D81" s="2"/>
    </row>
    <row r="82" spans="1:12">
      <c r="A82" s="28" t="s">
        <v>279</v>
      </c>
      <c r="B82" s="28"/>
      <c r="C82" s="2"/>
      <c r="D82" s="2"/>
    </row>
    <row r="83" spans="1:12" outlineLevel="1">
      <c r="A83" s="28"/>
      <c r="B83" s="28"/>
    </row>
    <row r="84" spans="1:12" outlineLevel="1">
      <c r="A84" s="28" t="s">
        <v>280</v>
      </c>
      <c r="B84" s="28"/>
    </row>
    <row r="85" spans="1:12" outlineLevel="1">
      <c r="A85" s="28" t="s">
        <v>281</v>
      </c>
      <c r="B85" s="38">
        <v>34</v>
      </c>
      <c r="C85" s="44">
        <f>C80</f>
        <v>235442.77777777778</v>
      </c>
      <c r="D85" s="44">
        <f>D80</f>
        <v>421502.05255555559</v>
      </c>
      <c r="E85" s="44">
        <f t="shared" ref="E85:L85" si="33">E80</f>
        <v>665391.08502222225</v>
      </c>
      <c r="F85" s="44">
        <f t="shared" si="33"/>
        <v>938270.91555749997</v>
      </c>
      <c r="G85" s="44">
        <f t="shared" si="33"/>
        <v>1252483.2455131309</v>
      </c>
      <c r="H85" s="44">
        <f t="shared" si="33"/>
        <v>1609665.1823237906</v>
      </c>
      <c r="I85" s="44">
        <f t="shared" si="33"/>
        <v>2014698.1635089112</v>
      </c>
      <c r="J85" s="44">
        <f t="shared" si="33"/>
        <v>2473022.180561156</v>
      </c>
      <c r="K85" s="44">
        <f t="shared" si="33"/>
        <v>2990699.1736067366</v>
      </c>
      <c r="L85" s="44">
        <f t="shared" si="33"/>
        <v>3574483.6007847972</v>
      </c>
    </row>
    <row r="86" spans="1:12" outlineLevel="1">
      <c r="A86" s="28" t="s">
        <v>32</v>
      </c>
      <c r="B86" s="38">
        <v>35</v>
      </c>
      <c r="C86" s="44">
        <f>C68</f>
        <v>166666.66666666666</v>
      </c>
      <c r="D86" s="44">
        <f>D68+C86</f>
        <v>238333.33333333331</v>
      </c>
      <c r="E86" s="44">
        <f t="shared" ref="E86:L86" si="34">E68+D86</f>
        <v>290528.33333333326</v>
      </c>
      <c r="F86" s="44">
        <f t="shared" si="34"/>
        <v>323358.03499999997</v>
      </c>
      <c r="G86" s="44">
        <f t="shared" si="34"/>
        <v>359897.49295500002</v>
      </c>
      <c r="H86" s="44">
        <f t="shared" si="34"/>
        <v>400565.90965891507</v>
      </c>
      <c r="I86" s="44">
        <f t="shared" si="34"/>
        <v>445829.85745037254</v>
      </c>
      <c r="J86" s="44">
        <f t="shared" si="34"/>
        <v>496208.63134226465</v>
      </c>
      <c r="K86" s="44">
        <f t="shared" si="34"/>
        <v>552280.2066839406</v>
      </c>
      <c r="L86" s="44">
        <f t="shared" si="34"/>
        <v>614687.87003922602</v>
      </c>
    </row>
    <row r="87" spans="1:12" outlineLevel="1">
      <c r="A87" s="28" t="s">
        <v>33</v>
      </c>
      <c r="B87" s="38">
        <v>36</v>
      </c>
      <c r="C87" s="44">
        <f>C69</f>
        <v>96666.666666666672</v>
      </c>
      <c r="D87" s="44">
        <f>D69+C87</f>
        <v>138233.33333333334</v>
      </c>
      <c r="E87" s="44">
        <f t="shared" ref="E87:L87" si="35">E69+D87</f>
        <v>168506.43333333329</v>
      </c>
      <c r="F87" s="44">
        <f t="shared" si="35"/>
        <v>187547.66029999999</v>
      </c>
      <c r="G87" s="44">
        <f t="shared" si="35"/>
        <v>208740.54591390002</v>
      </c>
      <c r="H87" s="44">
        <f t="shared" si="35"/>
        <v>232328.22760217075</v>
      </c>
      <c r="I87" s="44">
        <f t="shared" si="35"/>
        <v>258581.31732121611</v>
      </c>
      <c r="J87" s="44">
        <f t="shared" si="35"/>
        <v>287801.00617851352</v>
      </c>
      <c r="K87" s="44">
        <f t="shared" si="35"/>
        <v>320322.51987668563</v>
      </c>
      <c r="L87" s="44">
        <f t="shared" si="35"/>
        <v>356518.96462275111</v>
      </c>
    </row>
    <row r="88" spans="1:12" outlineLevel="1">
      <c r="A88" s="28" t="s">
        <v>282</v>
      </c>
      <c r="B88" s="38">
        <v>37</v>
      </c>
      <c r="C88" s="44">
        <f>SUM(C85:C87)</f>
        <v>498776.11111111112</v>
      </c>
      <c r="D88" s="44">
        <f>SUM(D85:D87)</f>
        <v>798068.71922222234</v>
      </c>
      <c r="E88" s="44">
        <f t="shared" ref="E88:L88" si="36">SUM(E85:E87)</f>
        <v>1124425.8516888889</v>
      </c>
      <c r="F88" s="44">
        <f t="shared" si="36"/>
        <v>1449176.6108574998</v>
      </c>
      <c r="G88" s="44">
        <f t="shared" si="36"/>
        <v>1821121.2843820311</v>
      </c>
      <c r="H88" s="44">
        <f t="shared" si="36"/>
        <v>2242559.3195848763</v>
      </c>
      <c r="I88" s="44">
        <f t="shared" si="36"/>
        <v>2719109.3382804999</v>
      </c>
      <c r="J88" s="44">
        <f t="shared" si="36"/>
        <v>3257031.8180819345</v>
      </c>
      <c r="K88" s="44">
        <f t="shared" si="36"/>
        <v>3863301.9001673628</v>
      </c>
      <c r="L88" s="44">
        <f t="shared" si="36"/>
        <v>4545690.4354467746</v>
      </c>
    </row>
    <row r="89" spans="1:12" outlineLevel="1">
      <c r="A89" s="28" t="s">
        <v>283</v>
      </c>
      <c r="B89" s="38">
        <v>38</v>
      </c>
      <c r="C89" s="44">
        <f>$C$71</f>
        <v>250000</v>
      </c>
      <c r="D89" s="44">
        <f>$C$71</f>
        <v>250000</v>
      </c>
      <c r="E89" s="44">
        <f t="shared" ref="E89:L89" si="37">$C$71</f>
        <v>250000</v>
      </c>
      <c r="F89" s="44">
        <f t="shared" si="37"/>
        <v>250000</v>
      </c>
      <c r="G89" s="44">
        <f t="shared" si="37"/>
        <v>250000</v>
      </c>
      <c r="H89" s="44">
        <f t="shared" si="37"/>
        <v>250000</v>
      </c>
      <c r="I89" s="44">
        <f t="shared" si="37"/>
        <v>250000</v>
      </c>
      <c r="J89" s="44">
        <f t="shared" si="37"/>
        <v>250000</v>
      </c>
      <c r="K89" s="44">
        <f t="shared" si="37"/>
        <v>250000</v>
      </c>
      <c r="L89" s="44">
        <f t="shared" si="37"/>
        <v>250000</v>
      </c>
    </row>
    <row r="90" spans="1:12" outlineLevel="1">
      <c r="A90" s="28" t="s">
        <v>284</v>
      </c>
      <c r="B90" s="38">
        <v>39</v>
      </c>
      <c r="C90" s="44">
        <f>C49</f>
        <v>25000</v>
      </c>
      <c r="D90" s="44">
        <f>D49+C90</f>
        <v>50000</v>
      </c>
      <c r="E90" s="44">
        <f t="shared" ref="E90:L90" si="38">E49+D90</f>
        <v>75000</v>
      </c>
      <c r="F90" s="44">
        <f t="shared" si="38"/>
        <v>100000</v>
      </c>
      <c r="G90" s="44">
        <f t="shared" si="38"/>
        <v>125000</v>
      </c>
      <c r="H90" s="44">
        <f t="shared" si="38"/>
        <v>150000</v>
      </c>
      <c r="I90" s="44">
        <f t="shared" si="38"/>
        <v>175000</v>
      </c>
      <c r="J90" s="44">
        <f t="shared" si="38"/>
        <v>200000</v>
      </c>
      <c r="K90" s="44">
        <f t="shared" si="38"/>
        <v>225000</v>
      </c>
      <c r="L90" s="44">
        <f t="shared" si="38"/>
        <v>250000</v>
      </c>
    </row>
    <row r="91" spans="1:12" outlineLevel="1">
      <c r="A91" s="28" t="s">
        <v>285</v>
      </c>
      <c r="B91" s="38">
        <v>40</v>
      </c>
      <c r="C91" s="44">
        <f>C89-C90</f>
        <v>225000</v>
      </c>
      <c r="D91" s="44">
        <f>D89-D90</f>
        <v>200000</v>
      </c>
      <c r="E91" s="44">
        <f t="shared" ref="E91:L91" si="39">E89-E90</f>
        <v>175000</v>
      </c>
      <c r="F91" s="44">
        <f t="shared" si="39"/>
        <v>150000</v>
      </c>
      <c r="G91" s="44">
        <f t="shared" si="39"/>
        <v>125000</v>
      </c>
      <c r="H91" s="44">
        <f t="shared" si="39"/>
        <v>100000</v>
      </c>
      <c r="I91" s="44">
        <f t="shared" si="39"/>
        <v>75000</v>
      </c>
      <c r="J91" s="44">
        <f t="shared" si="39"/>
        <v>50000</v>
      </c>
      <c r="K91" s="44">
        <f t="shared" si="39"/>
        <v>25000</v>
      </c>
      <c r="L91" s="44">
        <f t="shared" si="39"/>
        <v>0</v>
      </c>
    </row>
    <row r="92" spans="1:12">
      <c r="A92" s="28" t="s">
        <v>286</v>
      </c>
      <c r="B92" s="38">
        <v>41</v>
      </c>
      <c r="C92" s="44">
        <f>C88+C91</f>
        <v>723776.11111111112</v>
      </c>
      <c r="D92" s="44">
        <f>D88+D91</f>
        <v>998068.71922222234</v>
      </c>
      <c r="E92" s="44">
        <f t="shared" ref="E92:L92" si="40">E88+E91</f>
        <v>1299425.8516888889</v>
      </c>
      <c r="F92" s="44">
        <f t="shared" si="40"/>
        <v>1599176.6108574998</v>
      </c>
      <c r="G92" s="44">
        <f t="shared" si="40"/>
        <v>1946121.2843820311</v>
      </c>
      <c r="H92" s="44">
        <f t="shared" si="40"/>
        <v>2342559.3195848763</v>
      </c>
      <c r="I92" s="44">
        <f t="shared" si="40"/>
        <v>2794109.3382804999</v>
      </c>
      <c r="J92" s="44">
        <f t="shared" si="40"/>
        <v>3307031.8180819345</v>
      </c>
      <c r="K92" s="44">
        <f t="shared" si="40"/>
        <v>3888301.9001673628</v>
      </c>
      <c r="L92" s="44">
        <f t="shared" si="40"/>
        <v>4545690.4354467746</v>
      </c>
    </row>
    <row r="93" spans="1:12" outlineLevel="1">
      <c r="A93" s="28"/>
      <c r="B93" s="28"/>
    </row>
    <row r="94" spans="1:12" outlineLevel="1">
      <c r="A94" s="28" t="s">
        <v>287</v>
      </c>
      <c r="B94" s="28"/>
    </row>
    <row r="95" spans="1:12" outlineLevel="1">
      <c r="A95" s="28" t="s">
        <v>288</v>
      </c>
      <c r="B95" s="38">
        <v>42</v>
      </c>
      <c r="C95" s="44">
        <f>D18</f>
        <v>22302.777777777774</v>
      </c>
      <c r="D95" s="44">
        <f>E18</f>
        <v>22302.777777777774</v>
      </c>
      <c r="E95" s="44">
        <f t="shared" ref="E95:L95" si="41">F18</f>
        <v>22302.777777777774</v>
      </c>
      <c r="F95" s="44">
        <f t="shared" si="41"/>
        <v>22302.777777777774</v>
      </c>
      <c r="G95" s="44">
        <f t="shared" si="41"/>
        <v>22302.777777777774</v>
      </c>
      <c r="H95" s="44">
        <f t="shared" si="41"/>
        <v>22302.777777777774</v>
      </c>
      <c r="I95" s="44">
        <f t="shared" si="41"/>
        <v>22302.777777777774</v>
      </c>
      <c r="J95" s="44">
        <f t="shared" si="41"/>
        <v>22302.777777777774</v>
      </c>
      <c r="K95" s="44">
        <f t="shared" si="41"/>
        <v>22302.777777777774</v>
      </c>
      <c r="L95" s="44">
        <f t="shared" si="41"/>
        <v>22302.777777777774</v>
      </c>
    </row>
    <row r="96" spans="1:12" outlineLevel="1">
      <c r="A96" s="28" t="s">
        <v>289</v>
      </c>
      <c r="B96" s="38">
        <v>43</v>
      </c>
      <c r="C96" s="44">
        <f>C61</f>
        <v>140972.22222222222</v>
      </c>
      <c r="D96" s="44">
        <f>D61+C96</f>
        <v>181451.38888888891</v>
      </c>
      <c r="E96" s="44">
        <f t="shared" ref="E96:L96" si="42">E61+D96</f>
        <v>216939.93749999991</v>
      </c>
      <c r="F96" s="44">
        <f t="shared" si="42"/>
        <v>238401.49765972217</v>
      </c>
      <c r="G96" s="44">
        <f t="shared" si="42"/>
        <v>265340.86689527088</v>
      </c>
      <c r="H96" s="44">
        <f t="shared" si="42"/>
        <v>295324.3848544365</v>
      </c>
      <c r="I96" s="44">
        <f t="shared" si="42"/>
        <v>328696.04034298786</v>
      </c>
      <c r="J96" s="44">
        <f t="shared" si="42"/>
        <v>365838.69290174544</v>
      </c>
      <c r="K96" s="44">
        <f t="shared" si="42"/>
        <v>407178.46519964276</v>
      </c>
      <c r="L96" s="44">
        <f t="shared" si="42"/>
        <v>453189.63176720258</v>
      </c>
    </row>
    <row r="97" spans="1:13" outlineLevel="1">
      <c r="A97" s="28" t="s">
        <v>290</v>
      </c>
      <c r="B97" s="38">
        <v>44</v>
      </c>
      <c r="C97" s="44">
        <f>C54</f>
        <v>69283.877777777787</v>
      </c>
      <c r="D97" s="44">
        <f>D54</f>
        <v>119365.29000000001</v>
      </c>
      <c r="E97" s="44">
        <f t="shared" ref="E97:L97" si="43">E54</f>
        <v>156080.27600000004</v>
      </c>
      <c r="F97" s="44">
        <f t="shared" si="43"/>
        <v>178936.76534799999</v>
      </c>
      <c r="G97" s="44">
        <f t="shared" si="43"/>
        <v>204380.4604983241</v>
      </c>
      <c r="H97" s="44">
        <f t="shared" si="43"/>
        <v>232707.88462567481</v>
      </c>
      <c r="I97" s="44">
        <f t="shared" si="43"/>
        <v>264249.23478025763</v>
      </c>
      <c r="J97" s="44">
        <f t="shared" si="43"/>
        <v>299372.19370598363</v>
      </c>
      <c r="K97" s="44">
        <f t="shared" si="43"/>
        <v>338486.17266093899</v>
      </c>
      <c r="L97" s="44">
        <f t="shared" si="43"/>
        <v>382047.0339540515</v>
      </c>
    </row>
    <row r="98" spans="1:13" outlineLevel="1">
      <c r="A98" s="28" t="s">
        <v>291</v>
      </c>
      <c r="B98" s="38">
        <v>45</v>
      </c>
      <c r="C98" s="44">
        <f>SUM(C95:C97)</f>
        <v>232558.87777777779</v>
      </c>
      <c r="D98" s="44">
        <f>SUM(D95:D97)</f>
        <v>323119.45666666667</v>
      </c>
      <c r="E98" s="44">
        <f t="shared" ref="E98:L98" si="44">SUM(E95:E97)</f>
        <v>395322.99127777771</v>
      </c>
      <c r="F98" s="44">
        <f t="shared" si="44"/>
        <v>439641.04078549996</v>
      </c>
      <c r="G98" s="44">
        <f t="shared" si="44"/>
        <v>492024.10517137276</v>
      </c>
      <c r="H98" s="44">
        <f t="shared" si="44"/>
        <v>550335.04725788906</v>
      </c>
      <c r="I98" s="44">
        <f t="shared" si="44"/>
        <v>615248.0529010233</v>
      </c>
      <c r="J98" s="44">
        <f t="shared" si="44"/>
        <v>687513.66438550688</v>
      </c>
      <c r="K98" s="44">
        <f t="shared" si="44"/>
        <v>767967.4156383595</v>
      </c>
      <c r="L98" s="44">
        <f t="shared" si="44"/>
        <v>857539.44349903183</v>
      </c>
    </row>
    <row r="99" spans="1:13" outlineLevel="1">
      <c r="A99" s="28" t="s">
        <v>292</v>
      </c>
      <c r="B99" s="38">
        <v>46</v>
      </c>
      <c r="C99" s="44">
        <f>SUM(E18:$M$18)</f>
        <v>200725</v>
      </c>
      <c r="D99" s="44">
        <f>SUM(F18:$M$18)</f>
        <v>178422.22222222222</v>
      </c>
      <c r="E99" s="44">
        <f>SUM(G18:$M$18)</f>
        <v>156119.44444444444</v>
      </c>
      <c r="F99" s="44">
        <f>SUM(H18:$M$18)</f>
        <v>133816.66666666666</v>
      </c>
      <c r="G99" s="44">
        <f>SUM(I18:$M$18)</f>
        <v>111513.88888888888</v>
      </c>
      <c r="H99" s="44">
        <f>SUM(J18:$M$18)</f>
        <v>89211.111111111095</v>
      </c>
      <c r="I99" s="44">
        <f>SUM(K18:$M$18)</f>
        <v>66908.333333333314</v>
      </c>
      <c r="J99" s="44">
        <f>SUM(L18:$M$18)</f>
        <v>44605.555555555547</v>
      </c>
      <c r="K99" s="44">
        <f>SUM(M18:$M$18)</f>
        <v>22302.777777777774</v>
      </c>
      <c r="L99" s="44"/>
      <c r="M99" s="44"/>
    </row>
    <row r="100" spans="1:13">
      <c r="A100" s="28" t="s">
        <v>293</v>
      </c>
      <c r="B100" s="38">
        <v>47</v>
      </c>
      <c r="C100" s="44">
        <f>C98+C99</f>
        <v>433283.87777777779</v>
      </c>
      <c r="D100" s="44">
        <f>D98+D99</f>
        <v>501541.67888888891</v>
      </c>
      <c r="E100" s="44">
        <f t="shared" ref="E100:L100" si="45">E98+E99</f>
        <v>551442.43572222209</v>
      </c>
      <c r="F100" s="44">
        <f t="shared" si="45"/>
        <v>573457.70745216659</v>
      </c>
      <c r="G100" s="44">
        <f t="shared" si="45"/>
        <v>603537.99406026164</v>
      </c>
      <c r="H100" s="44">
        <f t="shared" si="45"/>
        <v>639546.15836900019</v>
      </c>
      <c r="I100" s="44">
        <f t="shared" si="45"/>
        <v>682156.38623435656</v>
      </c>
      <c r="J100" s="44">
        <f t="shared" si="45"/>
        <v>732119.21994106239</v>
      </c>
      <c r="K100" s="44">
        <f t="shared" si="45"/>
        <v>790270.19341613725</v>
      </c>
      <c r="L100" s="44">
        <f t="shared" si="45"/>
        <v>857539.44349903183</v>
      </c>
    </row>
    <row r="101" spans="1:13" outlineLevel="1">
      <c r="A101" s="28"/>
      <c r="B101" s="28"/>
    </row>
    <row r="102" spans="1:13" outlineLevel="1">
      <c r="A102" s="28" t="s">
        <v>294</v>
      </c>
      <c r="B102" s="28"/>
    </row>
    <row r="103" spans="1:13" outlineLevel="1">
      <c r="A103" s="28" t="s">
        <v>295</v>
      </c>
      <c r="B103" s="38">
        <v>48</v>
      </c>
      <c r="C103" s="44">
        <f>$C$62</f>
        <v>156000.00000000003</v>
      </c>
      <c r="D103" s="44">
        <f>$C$62</f>
        <v>156000.00000000003</v>
      </c>
      <c r="E103" s="44">
        <f t="shared" ref="E103:L103" si="46">$C$62</f>
        <v>156000.00000000003</v>
      </c>
      <c r="F103" s="44">
        <f t="shared" si="46"/>
        <v>156000.00000000003</v>
      </c>
      <c r="G103" s="44">
        <f t="shared" si="46"/>
        <v>156000.00000000003</v>
      </c>
      <c r="H103" s="44">
        <f t="shared" si="46"/>
        <v>156000.00000000003</v>
      </c>
      <c r="I103" s="44">
        <f t="shared" si="46"/>
        <v>156000.00000000003</v>
      </c>
      <c r="J103" s="44">
        <f t="shared" si="46"/>
        <v>156000.00000000003</v>
      </c>
      <c r="K103" s="44">
        <f t="shared" si="46"/>
        <v>156000.00000000003</v>
      </c>
      <c r="L103" s="44">
        <f t="shared" si="46"/>
        <v>156000.00000000003</v>
      </c>
    </row>
    <row r="104" spans="1:13" outlineLevel="1">
      <c r="A104" s="28" t="s">
        <v>296</v>
      </c>
      <c r="B104" s="38"/>
      <c r="D104" s="44">
        <f>MIN(D113:D114)</f>
        <v>13449.223333333335</v>
      </c>
      <c r="E104" s="44">
        <f t="shared" ref="E104:L104" si="47">MIN(E113:E114)</f>
        <v>37683.994333333336</v>
      </c>
      <c r="F104" s="44">
        <f t="shared" si="47"/>
        <v>69373.020066666679</v>
      </c>
      <c r="G104" s="44">
        <f t="shared" si="47"/>
        <v>78000.000000000015</v>
      </c>
      <c r="H104" s="44">
        <f t="shared" si="47"/>
        <v>78000.000000000015</v>
      </c>
      <c r="I104" s="44">
        <f t="shared" si="47"/>
        <v>78000.000000000015</v>
      </c>
      <c r="J104" s="44">
        <f t="shared" si="47"/>
        <v>78000.000000000015</v>
      </c>
      <c r="K104" s="44">
        <f t="shared" si="47"/>
        <v>78000.000000000015</v>
      </c>
      <c r="L104" s="44">
        <f t="shared" si="47"/>
        <v>78000.000000000015</v>
      </c>
    </row>
    <row r="105" spans="1:13" outlineLevel="1">
      <c r="A105" s="28" t="s">
        <v>297</v>
      </c>
      <c r="B105" s="38"/>
      <c r="E105" s="2">
        <f t="shared" ref="E105:L105" si="48">IF(E114&gt;E113,E114-E113,0)</f>
        <v>0</v>
      </c>
      <c r="F105" s="2">
        <f t="shared" si="48"/>
        <v>0</v>
      </c>
      <c r="G105" s="2">
        <f t="shared" si="48"/>
        <v>27702.605758533333</v>
      </c>
      <c r="H105" s="2">
        <f t="shared" si="48"/>
        <v>69198.032586980946</v>
      </c>
      <c r="I105" s="2">
        <f t="shared" si="48"/>
        <v>116444.78492007249</v>
      </c>
      <c r="J105" s="2">
        <f t="shared" si="48"/>
        <v>170095.38713303389</v>
      </c>
      <c r="K105" s="2">
        <f t="shared" si="48"/>
        <v>230877.01434000634</v>
      </c>
      <c r="L105" s="2">
        <f t="shared" si="48"/>
        <v>299599.96454692422</v>
      </c>
    </row>
    <row r="106" spans="1:13" outlineLevel="1">
      <c r="A106" s="28" t="s">
        <v>298</v>
      </c>
      <c r="B106" s="38">
        <v>49</v>
      </c>
      <c r="C106" s="44">
        <f>C55</f>
        <v>134492.23333333334</v>
      </c>
      <c r="D106" s="44">
        <f>D55</f>
        <v>242347.71</v>
      </c>
      <c r="E106" s="44">
        <f t="shared" ref="E106:L106" si="49">E55</f>
        <v>316890.25733333337</v>
      </c>
      <c r="F106" s="44">
        <f t="shared" si="49"/>
        <v>363295.85691866663</v>
      </c>
      <c r="G106" s="44">
        <f t="shared" si="49"/>
        <v>414954.26828447613</v>
      </c>
      <c r="H106" s="44">
        <f t="shared" si="49"/>
        <v>472467.52333091549</v>
      </c>
      <c r="I106" s="44">
        <f t="shared" si="49"/>
        <v>536506.02212961391</v>
      </c>
      <c r="J106" s="44">
        <f t="shared" si="49"/>
        <v>607816.27206972428</v>
      </c>
      <c r="K106" s="44">
        <f t="shared" si="49"/>
        <v>687229.50206917897</v>
      </c>
      <c r="L106" s="44">
        <f t="shared" si="49"/>
        <v>775671.25075519527</v>
      </c>
    </row>
    <row r="107" spans="1:13" outlineLevel="1">
      <c r="A107" s="28" t="s">
        <v>299</v>
      </c>
      <c r="B107" s="38"/>
      <c r="D107" s="2">
        <f>IF(C106&gt;0,C106*90%-D75,C106)+C107</f>
        <v>84730.107000000018</v>
      </c>
      <c r="E107" s="2">
        <f t="shared" ref="E107:L107" si="50">IF(D106&gt;0,D106*90%-E75,D106)+D107</f>
        <v>237409.1643</v>
      </c>
      <c r="F107" s="2">
        <f t="shared" si="50"/>
        <v>437050.02642000007</v>
      </c>
      <c r="G107" s="2">
        <f t="shared" si="50"/>
        <v>665926.41627876007</v>
      </c>
      <c r="H107" s="2">
        <f t="shared" si="50"/>
        <v>927347.60529798002</v>
      </c>
      <c r="I107" s="2">
        <f t="shared" si="50"/>
        <v>1225002.1449964568</v>
      </c>
      <c r="J107" s="2">
        <f t="shared" si="50"/>
        <v>1563000.9389381136</v>
      </c>
      <c r="K107" s="2">
        <f t="shared" si="50"/>
        <v>1945925.1903420398</v>
      </c>
      <c r="L107" s="2">
        <f t="shared" si="50"/>
        <v>2378879.7766456227</v>
      </c>
    </row>
    <row r="108" spans="1:13">
      <c r="A108" s="28" t="s">
        <v>300</v>
      </c>
      <c r="B108" s="38">
        <v>50</v>
      </c>
      <c r="C108" s="44">
        <f>SUM(C103:C107)</f>
        <v>290492.2333333334</v>
      </c>
      <c r="D108" s="44">
        <f>SUM(D103:D107)</f>
        <v>496527.04033333337</v>
      </c>
      <c r="E108" s="44">
        <f t="shared" ref="E108:L108" si="51">SUM(E103:E107)</f>
        <v>747983.41596666677</v>
      </c>
      <c r="F108" s="44">
        <f t="shared" si="51"/>
        <v>1025718.9034053334</v>
      </c>
      <c r="G108" s="44">
        <f t="shared" si="51"/>
        <v>1342583.2903217697</v>
      </c>
      <c r="H108" s="44">
        <f t="shared" si="51"/>
        <v>1703013.1612158767</v>
      </c>
      <c r="I108" s="44">
        <f t="shared" si="51"/>
        <v>2111952.9520461434</v>
      </c>
      <c r="J108" s="44">
        <f t="shared" si="51"/>
        <v>2574912.5981408721</v>
      </c>
      <c r="K108" s="44">
        <f t="shared" si="51"/>
        <v>3098031.7067512251</v>
      </c>
      <c r="L108" s="44">
        <f t="shared" si="51"/>
        <v>3688150.9919477422</v>
      </c>
    </row>
    <row r="109" spans="1:13">
      <c r="A109" s="28"/>
      <c r="B109" s="38"/>
    </row>
    <row r="110" spans="1:13" ht="12" customHeight="1" outlineLevel="1">
      <c r="A110" s="28" t="s">
        <v>301</v>
      </c>
      <c r="B110" s="38">
        <v>51</v>
      </c>
      <c r="C110" s="44">
        <f>C100+C108</f>
        <v>723776.11111111124</v>
      </c>
      <c r="D110" s="44">
        <f>D100+D108</f>
        <v>998068.71922222222</v>
      </c>
      <c r="E110" s="44">
        <f t="shared" ref="E110:L110" si="52">E100+E108</f>
        <v>1299425.8516888889</v>
      </c>
      <c r="F110" s="44">
        <f t="shared" si="52"/>
        <v>1599176.6108575</v>
      </c>
      <c r="G110" s="44">
        <f t="shared" si="52"/>
        <v>1946121.2843820313</v>
      </c>
      <c r="H110" s="44">
        <f t="shared" si="52"/>
        <v>2342559.3195848768</v>
      </c>
      <c r="I110" s="44">
        <f t="shared" si="52"/>
        <v>2794109.3382804999</v>
      </c>
      <c r="J110" s="44">
        <f t="shared" si="52"/>
        <v>3307031.8180819345</v>
      </c>
      <c r="K110" s="44">
        <f t="shared" si="52"/>
        <v>3888301.9001673623</v>
      </c>
      <c r="L110" s="44">
        <f t="shared" si="52"/>
        <v>4545690.4354467737</v>
      </c>
    </row>
    <row r="111" spans="1:13" outlineLevel="1">
      <c r="A111" s="28" t="s">
        <v>302</v>
      </c>
      <c r="B111" s="38">
        <v>52</v>
      </c>
      <c r="C111" s="44">
        <f>C92-C110</f>
        <v>0</v>
      </c>
      <c r="D111" s="44">
        <f>D92-D110</f>
        <v>0</v>
      </c>
      <c r="E111" s="44">
        <f t="shared" ref="E111:L111" si="53">E92-E110</f>
        <v>0</v>
      </c>
      <c r="F111" s="44">
        <f t="shared" si="53"/>
        <v>0</v>
      </c>
      <c r="G111" s="44">
        <f t="shared" si="53"/>
        <v>0</v>
      </c>
      <c r="H111" s="44">
        <f t="shared" si="53"/>
        <v>0</v>
      </c>
      <c r="I111" s="44">
        <f t="shared" si="53"/>
        <v>0</v>
      </c>
      <c r="J111" s="44">
        <f t="shared" si="53"/>
        <v>0</v>
      </c>
      <c r="K111" s="44">
        <f t="shared" si="53"/>
        <v>0</v>
      </c>
      <c r="L111" s="44">
        <f t="shared" si="53"/>
        <v>0</v>
      </c>
    </row>
    <row r="112" spans="1:13" outlineLevel="1">
      <c r="A112" s="28"/>
    </row>
    <row r="113" spans="1:27" outlineLevel="1">
      <c r="A113" s="28" t="s">
        <v>303</v>
      </c>
      <c r="D113" s="44">
        <f>D103*50%</f>
        <v>78000.000000000015</v>
      </c>
      <c r="E113" s="44">
        <f t="shared" ref="E113:M113" si="54">E103*50%</f>
        <v>78000.000000000015</v>
      </c>
      <c r="F113" s="44">
        <f t="shared" si="54"/>
        <v>78000.000000000015</v>
      </c>
      <c r="G113" s="44">
        <f t="shared" si="54"/>
        <v>78000.000000000015</v>
      </c>
      <c r="H113" s="44">
        <f t="shared" si="54"/>
        <v>78000.000000000015</v>
      </c>
      <c r="I113" s="44">
        <f t="shared" si="54"/>
        <v>78000.000000000015</v>
      </c>
      <c r="J113" s="44">
        <f t="shared" si="54"/>
        <v>78000.000000000015</v>
      </c>
      <c r="K113" s="44">
        <f t="shared" si="54"/>
        <v>78000.000000000015</v>
      </c>
      <c r="L113" s="44">
        <f t="shared" si="54"/>
        <v>78000.000000000015</v>
      </c>
      <c r="M113" s="44">
        <f t="shared" si="54"/>
        <v>0</v>
      </c>
    </row>
    <row r="114" spans="1:27" outlineLevel="1">
      <c r="A114" s="28" t="s">
        <v>304</v>
      </c>
      <c r="D114" s="2">
        <f>IF(C106&gt;0,C106*10%,0)+C114</f>
        <v>13449.223333333335</v>
      </c>
      <c r="E114" s="2">
        <f t="shared" ref="E114:L114" si="55">IF(D106&gt;0,D106*10%,0)+D114</f>
        <v>37683.994333333336</v>
      </c>
      <c r="F114" s="2">
        <f t="shared" si="55"/>
        <v>69373.020066666679</v>
      </c>
      <c r="G114" s="2">
        <f t="shared" si="55"/>
        <v>105702.60575853335</v>
      </c>
      <c r="H114" s="2">
        <f t="shared" si="55"/>
        <v>147198.03258698096</v>
      </c>
      <c r="I114" s="2">
        <f t="shared" si="55"/>
        <v>194444.7849200725</v>
      </c>
      <c r="J114" s="2">
        <f t="shared" si="55"/>
        <v>248095.38713303389</v>
      </c>
      <c r="K114" s="2">
        <f t="shared" si="55"/>
        <v>308877.01434000634</v>
      </c>
      <c r="L114" s="2">
        <f t="shared" si="55"/>
        <v>377599.96454692422</v>
      </c>
    </row>
    <row r="115" spans="1:27">
      <c r="A115" s="43" t="s">
        <v>305</v>
      </c>
    </row>
    <row r="116" spans="1:27">
      <c r="A116" s="29" t="s">
        <v>306</v>
      </c>
      <c r="C116" s="143">
        <f t="shared" ref="C116:L116" si="56">SUMPRODUCT(coefz,C122:C125)</f>
        <v>5.904509672292007</v>
      </c>
      <c r="D116" s="47">
        <f t="shared" si="56"/>
        <v>7.8710565939030337</v>
      </c>
      <c r="E116" s="47">
        <f t="shared" si="56"/>
        <v>9.1468918354077893</v>
      </c>
      <c r="F116" s="47">
        <f t="shared" si="56"/>
        <v>10.149555375510342</v>
      </c>
      <c r="G116" s="47">
        <f t="shared" si="56"/>
        <v>10.997580962312469</v>
      </c>
      <c r="H116" s="47">
        <f t="shared" si="56"/>
        <v>11.748998961816259</v>
      </c>
      <c r="I116" s="47">
        <f t="shared" si="56"/>
        <v>12.423933500403809</v>
      </c>
      <c r="J116" s="47">
        <f t="shared" si="56"/>
        <v>13.034214420175484</v>
      </c>
      <c r="K116" s="47">
        <f t="shared" si="56"/>
        <v>13.586995104711271</v>
      </c>
      <c r="L116" s="47">
        <f t="shared" si="56"/>
        <v>14.086924442288661</v>
      </c>
    </row>
    <row r="117" spans="1:27" outlineLevel="1">
      <c r="A117" s="28" t="s">
        <v>307</v>
      </c>
      <c r="C117" s="50" t="str">
        <f t="shared" ref="C117:L117" si="57">VLOOKUP(C116,matrizz,2)</f>
        <v>Situación normal</v>
      </c>
      <c r="D117" s="50" t="str">
        <f t="shared" si="57"/>
        <v>Situación normal</v>
      </c>
      <c r="E117" s="50" t="str">
        <f t="shared" si="57"/>
        <v>Situación normal</v>
      </c>
      <c r="F117" s="50" t="str">
        <f t="shared" si="57"/>
        <v>Situación normal</v>
      </c>
      <c r="G117" s="50" t="str">
        <f t="shared" si="57"/>
        <v>Situación normal</v>
      </c>
      <c r="H117" s="50" t="str">
        <f t="shared" si="57"/>
        <v>Situación normal</v>
      </c>
      <c r="I117" s="50" t="str">
        <f t="shared" si="57"/>
        <v>Situación normal</v>
      </c>
      <c r="J117" s="50" t="str">
        <f t="shared" si="57"/>
        <v>Situación normal</v>
      </c>
      <c r="K117" s="50" t="str">
        <f t="shared" si="57"/>
        <v>Situación normal</v>
      </c>
      <c r="L117" s="50" t="str">
        <f t="shared" si="57"/>
        <v>Situación normal</v>
      </c>
      <c r="Z117" s="49">
        <v>1E-10</v>
      </c>
      <c r="AA117" t="s">
        <v>351</v>
      </c>
    </row>
    <row r="118" spans="1:27" outlineLevel="1">
      <c r="A118" s="29" t="s">
        <v>308</v>
      </c>
      <c r="Z118">
        <v>1.1000000000000001</v>
      </c>
      <c r="AA118" t="s">
        <v>84</v>
      </c>
    </row>
    <row r="119" spans="1:27" outlineLevel="1">
      <c r="A119" s="29" t="s">
        <v>309</v>
      </c>
      <c r="Z119">
        <v>2.6</v>
      </c>
      <c r="AA119" t="s">
        <v>352</v>
      </c>
    </row>
    <row r="120" spans="1:27" outlineLevel="1">
      <c r="A120" s="29" t="s">
        <v>310</v>
      </c>
      <c r="Z120" s="49">
        <v>10000000000</v>
      </c>
    </row>
    <row r="121" spans="1:27" outlineLevel="1">
      <c r="A121" s="28"/>
    </row>
    <row r="122" spans="1:27" outlineLevel="1">
      <c r="A122" s="31" t="s">
        <v>311</v>
      </c>
      <c r="B122" s="48">
        <v>6.56</v>
      </c>
      <c r="C122" s="46">
        <f>(C88-C98)/C92</f>
        <v>0.36781710427641451</v>
      </c>
      <c r="D122" s="46">
        <f t="shared" ref="D122:L122" si="58">(D88-D98)/D92</f>
        <v>0.47586829785195089</v>
      </c>
      <c r="E122" s="46">
        <f t="shared" si="58"/>
        <v>0.56109616371221338</v>
      </c>
      <c r="F122" s="46">
        <f t="shared" si="58"/>
        <v>0.63128460184936885</v>
      </c>
      <c r="G122" s="46">
        <f t="shared" si="58"/>
        <v>0.68294673609342804</v>
      </c>
      <c r="H122" s="46">
        <f t="shared" si="58"/>
        <v>0.7223826770059617</v>
      </c>
      <c r="I122" s="46">
        <f t="shared" si="58"/>
        <v>0.75296312014554057</v>
      </c>
      <c r="J122" s="46">
        <f t="shared" si="58"/>
        <v>0.77698622058820654</v>
      </c>
      <c r="K122" s="46">
        <f t="shared" si="58"/>
        <v>0.79606331092649263</v>
      </c>
      <c r="L122" s="46">
        <f t="shared" si="58"/>
        <v>0.81135111251482561</v>
      </c>
    </row>
    <row r="123" spans="1:27" outlineLevel="1">
      <c r="A123" s="31" t="s">
        <v>350</v>
      </c>
      <c r="B123" s="48">
        <v>3.26</v>
      </c>
      <c r="C123" s="46">
        <f>SUM(C104:C107)/C92</f>
        <v>0.18582021604286778</v>
      </c>
      <c r="D123" s="46">
        <f t="shared" ref="D123:L123" si="59">SUM(D104:D107)/D92</f>
        <v>0.34118596623156383</v>
      </c>
      <c r="E123" s="46">
        <f t="shared" si="59"/>
        <v>0.45557306343971415</v>
      </c>
      <c r="F123" s="46">
        <f t="shared" si="59"/>
        <v>0.54385419190128015</v>
      </c>
      <c r="G123" s="46">
        <f t="shared" si="59"/>
        <v>0.60971703040520198</v>
      </c>
      <c r="H123" s="46">
        <f t="shared" si="59"/>
        <v>0.66039444477761267</v>
      </c>
      <c r="I123" s="46">
        <f t="shared" si="59"/>
        <v>0.70002734869704153</v>
      </c>
      <c r="J123" s="46">
        <f t="shared" si="59"/>
        <v>0.73144521468312695</v>
      </c>
      <c r="K123" s="46">
        <f t="shared" si="59"/>
        <v>0.75663664558160781</v>
      </c>
      <c r="L123" s="46">
        <f t="shared" si="59"/>
        <v>0.77703289348619786</v>
      </c>
    </row>
    <row r="124" spans="1:27" outlineLevel="1">
      <c r="A124" s="31" t="s">
        <v>312</v>
      </c>
      <c r="B124" s="48">
        <v>6.72</v>
      </c>
      <c r="C124" s="47">
        <f>C51/C92</f>
        <v>0.32468604087973796</v>
      </c>
      <c r="D124" s="47">
        <f t="shared" ref="D124:L124" si="60">D51/D92</f>
        <v>0.38654652988287946</v>
      </c>
      <c r="E124" s="47">
        <f t="shared" si="60"/>
        <v>0.38046126245483208</v>
      </c>
      <c r="F124" s="47">
        <f t="shared" si="60"/>
        <v>0.35078486753204952</v>
      </c>
      <c r="G124" s="47">
        <f t="shared" si="60"/>
        <v>0.32649184502627854</v>
      </c>
      <c r="H124" s="47">
        <f t="shared" si="60"/>
        <v>0.3067401831047728</v>
      </c>
      <c r="I124" s="47">
        <f t="shared" si="60"/>
        <v>0.29041833801055877</v>
      </c>
      <c r="J124" s="47">
        <f t="shared" si="60"/>
        <v>0.27674891447114364</v>
      </c>
      <c r="K124" s="47">
        <f t="shared" si="60"/>
        <v>0.26517188424911264</v>
      </c>
      <c r="L124" s="47">
        <f t="shared" si="60"/>
        <v>0.25527356834375597</v>
      </c>
    </row>
    <row r="125" spans="1:27" outlineLevel="1">
      <c r="A125" s="31" t="s">
        <v>313</v>
      </c>
      <c r="B125" s="48">
        <v>1.05</v>
      </c>
      <c r="C125" s="47">
        <f>C108/C100</f>
        <v>0.67044320878775177</v>
      </c>
      <c r="D125" s="47">
        <f t="shared" ref="D125:L125" si="61">D108/D100</f>
        <v>0.9900015516822751</v>
      </c>
      <c r="E125" s="47">
        <f t="shared" si="61"/>
        <v>1.3564125056626004</v>
      </c>
      <c r="F125" s="47">
        <f t="shared" si="61"/>
        <v>1.7886565828237488</v>
      </c>
      <c r="G125" s="47">
        <f t="shared" si="61"/>
        <v>2.2245215769924109</v>
      </c>
      <c r="H125" s="47">
        <f t="shared" si="61"/>
        <v>2.662846362112437</v>
      </c>
      <c r="I125" s="47">
        <f t="shared" si="61"/>
        <v>3.0959952800626227</v>
      </c>
      <c r="J125" s="47">
        <f t="shared" si="61"/>
        <v>3.517067340955971</v>
      </c>
      <c r="K125" s="47">
        <f t="shared" si="61"/>
        <v>3.9202183412222866</v>
      </c>
      <c r="L125" s="47">
        <f t="shared" si="61"/>
        <v>4.3008528877679622</v>
      </c>
    </row>
    <row r="126" spans="1:27" outlineLevel="1">
      <c r="A126" s="31"/>
    </row>
    <row r="127" spans="1:27" outlineLevel="1">
      <c r="A127" s="30" t="s">
        <v>314</v>
      </c>
    </row>
    <row r="128" spans="1:27">
      <c r="A128" s="28"/>
      <c r="M128" s="194" t="s">
        <v>904</v>
      </c>
    </row>
    <row r="129" spans="1:26">
      <c r="A129" s="52" t="s">
        <v>315</v>
      </c>
      <c r="B129" s="53"/>
      <c r="C129" s="51">
        <f>C40</f>
        <v>1</v>
      </c>
      <c r="D129" s="51">
        <f t="shared" ref="D129:L129" si="62">D40</f>
        <v>2</v>
      </c>
      <c r="E129" s="51">
        <f t="shared" si="62"/>
        <v>3</v>
      </c>
      <c r="F129" s="51">
        <f t="shared" si="62"/>
        <v>4</v>
      </c>
      <c r="G129" s="51">
        <f t="shared" si="62"/>
        <v>5</v>
      </c>
      <c r="H129" s="51">
        <f t="shared" si="62"/>
        <v>6</v>
      </c>
      <c r="I129" s="51">
        <f t="shared" si="62"/>
        <v>7</v>
      </c>
      <c r="J129" s="51">
        <f t="shared" si="62"/>
        <v>8</v>
      </c>
      <c r="K129" s="51">
        <f t="shared" si="62"/>
        <v>9</v>
      </c>
      <c r="L129" s="51">
        <f t="shared" si="62"/>
        <v>10</v>
      </c>
      <c r="M129" s="51">
        <v>11</v>
      </c>
      <c r="O129" s="2"/>
    </row>
    <row r="130" spans="1:26" outlineLevel="1">
      <c r="A130" s="28"/>
    </row>
    <row r="131" spans="1:26" outlineLevel="1">
      <c r="A131" s="28" t="s">
        <v>316</v>
      </c>
      <c r="B131" s="47"/>
      <c r="C131" s="54">
        <f>C47/C41</f>
        <v>0.42</v>
      </c>
      <c r="D131" s="54">
        <f t="shared" ref="D131:L131" si="63">D47/D41</f>
        <v>0.42</v>
      </c>
      <c r="E131" s="54">
        <f t="shared" si="63"/>
        <v>0.4200000000000001</v>
      </c>
      <c r="F131" s="54">
        <f t="shared" si="63"/>
        <v>0.42000000000000004</v>
      </c>
      <c r="G131" s="54">
        <f t="shared" si="63"/>
        <v>0.42000000000000004</v>
      </c>
      <c r="H131" s="54">
        <f t="shared" si="63"/>
        <v>0.4200000000000001</v>
      </c>
      <c r="I131" s="54">
        <f t="shared" si="63"/>
        <v>0.42000000000000004</v>
      </c>
      <c r="J131" s="54">
        <f t="shared" si="63"/>
        <v>0.4200000000000001</v>
      </c>
      <c r="K131" s="54">
        <f t="shared" si="63"/>
        <v>0.42</v>
      </c>
      <c r="L131" s="54">
        <f t="shared" si="63"/>
        <v>0.42000000000000004</v>
      </c>
    </row>
    <row r="132" spans="1:26" outlineLevel="1">
      <c r="A132" s="28" t="s">
        <v>317</v>
      </c>
      <c r="C132" s="54">
        <f>C51/C41</f>
        <v>0.23499999999999999</v>
      </c>
      <c r="D132" s="54">
        <f t="shared" ref="D132:L132" si="64">D51/D41</f>
        <v>0.26979020979020979</v>
      </c>
      <c r="E132" s="54">
        <f t="shared" si="64"/>
        <v>0.28361043386474077</v>
      </c>
      <c r="F132" s="54">
        <f t="shared" si="64"/>
        <v>0.28913613542957112</v>
      </c>
      <c r="G132" s="54">
        <f t="shared" si="64"/>
        <v>0.29424708480452744</v>
      </c>
      <c r="H132" s="54">
        <f t="shared" si="64"/>
        <v>0.29897579786354161</v>
      </c>
      <c r="I132" s="54">
        <f t="shared" si="64"/>
        <v>0.30335211840821003</v>
      </c>
      <c r="J132" s="54">
        <f t="shared" si="64"/>
        <v>0.30740344818939269</v>
      </c>
      <c r="K132" s="54">
        <f t="shared" si="64"/>
        <v>0.31115495628195522</v>
      </c>
      <c r="L132" s="54">
        <f t="shared" si="64"/>
        <v>0.31462976973135159</v>
      </c>
    </row>
    <row r="133" spans="1:26" outlineLevel="1">
      <c r="A133" s="28" t="s">
        <v>318</v>
      </c>
      <c r="C133" s="54">
        <f>C55/C41</f>
        <v>0.13449223333333335</v>
      </c>
      <c r="D133" s="54">
        <f t="shared" ref="D133:L133" si="65">D55/D41</f>
        <v>0.16947392307692308</v>
      </c>
      <c r="E133" s="54">
        <f t="shared" si="65"/>
        <v>0.1817896460662663</v>
      </c>
      <c r="F133" s="54">
        <f t="shared" si="65"/>
        <v>0.18725160018505321</v>
      </c>
      <c r="G133" s="54">
        <f t="shared" si="65"/>
        <v>0.19216317442568762</v>
      </c>
      <c r="H133" s="54">
        <f t="shared" si="65"/>
        <v>0.1965833470174006</v>
      </c>
      <c r="I133" s="54">
        <f t="shared" si="65"/>
        <v>0.2005645626030983</v>
      </c>
      <c r="J133" s="54">
        <f t="shared" si="65"/>
        <v>0.20415346612893998</v>
      </c>
      <c r="K133" s="54">
        <f t="shared" si="65"/>
        <v>0.20739155406742865</v>
      </c>
      <c r="L133" s="54">
        <f t="shared" si="65"/>
        <v>0.21031575226022059</v>
      </c>
    </row>
    <row r="134" spans="1:26" outlineLevel="1">
      <c r="A134" s="28" t="s">
        <v>353</v>
      </c>
      <c r="C134" s="54">
        <f>C55/C92</f>
        <v>0.18582021604286778</v>
      </c>
      <c r="D134" s="54">
        <f t="shared" ref="D134:L134" si="66">D55/D92</f>
        <v>0.24281665714246345</v>
      </c>
      <c r="E134" s="54">
        <f t="shared" si="66"/>
        <v>0.24386944197044025</v>
      </c>
      <c r="F134" s="54">
        <f t="shared" si="66"/>
        <v>0.2271768199035018</v>
      </c>
      <c r="G134" s="54">
        <f t="shared" si="66"/>
        <v>0.21322117568650928</v>
      </c>
      <c r="H134" s="54">
        <f t="shared" si="66"/>
        <v>0.20168860586832063</v>
      </c>
      <c r="I134" s="54">
        <f t="shared" si="66"/>
        <v>0.19201325258795374</v>
      </c>
      <c r="J134" s="54">
        <f t="shared" si="66"/>
        <v>0.18379510857632309</v>
      </c>
      <c r="K134" s="54">
        <f t="shared" si="66"/>
        <v>0.17674283523087517</v>
      </c>
      <c r="L134" s="54">
        <f t="shared" si="66"/>
        <v>0.17063881972837383</v>
      </c>
    </row>
    <row r="135" spans="1:26" outlineLevel="1">
      <c r="A135" s="28" t="s">
        <v>354</v>
      </c>
      <c r="C135" s="54">
        <f>C55/C108</f>
        <v>0.46298047899616812</v>
      </c>
      <c r="D135" s="54">
        <f t="shared" ref="D135:L135" si="67">D55/D108</f>
        <v>0.48808562336767153</v>
      </c>
      <c r="E135" s="54">
        <f t="shared" si="67"/>
        <v>0.42365946967393098</v>
      </c>
      <c r="F135" s="54">
        <f t="shared" si="67"/>
        <v>0.35418656681917754</v>
      </c>
      <c r="G135" s="54">
        <f t="shared" si="67"/>
        <v>0.30907152746182792</v>
      </c>
      <c r="H135" s="54">
        <f t="shared" si="67"/>
        <v>0.27743034175589953</v>
      </c>
      <c r="I135" s="54">
        <f t="shared" si="67"/>
        <v>0.25403313156660318</v>
      </c>
      <c r="J135" s="54">
        <f t="shared" si="67"/>
        <v>0.23605316642925173</v>
      </c>
      <c r="K135" s="54">
        <f t="shared" si="67"/>
        <v>0.22182778199834743</v>
      </c>
      <c r="L135" s="54">
        <f t="shared" si="67"/>
        <v>0.21031439668514143</v>
      </c>
    </row>
    <row r="136" spans="1:26" outlineLevel="1">
      <c r="A136" s="28" t="s">
        <v>355</v>
      </c>
      <c r="C136" s="55">
        <f>C92/C108</f>
        <v>2.4915506442493904</v>
      </c>
      <c r="D136" s="55">
        <f t="shared" ref="D136:L136" si="68">D92/D108</f>
        <v>2.0100994269157813</v>
      </c>
      <c r="E136" s="55">
        <f t="shared" si="68"/>
        <v>1.7372388530961715</v>
      </c>
      <c r="F136" s="55">
        <f t="shared" si="68"/>
        <v>1.5590788134530003</v>
      </c>
      <c r="G136" s="55">
        <f t="shared" si="68"/>
        <v>1.4495348619418724</v>
      </c>
      <c r="H136" s="55">
        <f t="shared" si="68"/>
        <v>1.3755380010759235</v>
      </c>
      <c r="I136" s="55">
        <f t="shared" si="68"/>
        <v>1.3229979084398904</v>
      </c>
      <c r="J136" s="55">
        <f t="shared" si="68"/>
        <v>1.2843277944539415</v>
      </c>
      <c r="K136" s="55">
        <f t="shared" si="68"/>
        <v>1.2550878326048058</v>
      </c>
      <c r="L136" s="55">
        <f t="shared" si="68"/>
        <v>1.2325120217071588</v>
      </c>
      <c r="Y136">
        <v>1</v>
      </c>
      <c r="Z136">
        <v>1</v>
      </c>
    </row>
    <row r="137" spans="1:26">
      <c r="A137" s="28" t="s">
        <v>319</v>
      </c>
    </row>
    <row r="138" spans="1:26">
      <c r="A138" s="28" t="s">
        <v>320</v>
      </c>
      <c r="C138" s="56">
        <f>C51*(1-C23)</f>
        <v>155099.99999999997</v>
      </c>
      <c r="D138" s="56">
        <f t="shared" ref="D138:L138" si="69">D51*(1-D23)</f>
        <v>258485.99999999997</v>
      </c>
      <c r="E138" s="56">
        <f t="shared" si="69"/>
        <v>331235.40400000004</v>
      </c>
      <c r="F138" s="56">
        <f t="shared" si="69"/>
        <v>375847.86025199993</v>
      </c>
      <c r="G138" s="56">
        <f t="shared" si="69"/>
        <v>425713.12828447612</v>
      </c>
      <c r="H138" s="56">
        <f t="shared" si="69"/>
        <v>481433.2399975821</v>
      </c>
      <c r="I138" s="56">
        <f t="shared" si="69"/>
        <v>543678.59546294727</v>
      </c>
      <c r="J138" s="56">
        <f t="shared" si="69"/>
        <v>613195.70206972433</v>
      </c>
      <c r="K138" s="56">
        <f t="shared" si="69"/>
        <v>690815.78873584559</v>
      </c>
      <c r="L138" s="56">
        <f t="shared" si="69"/>
        <v>777464.39408852858</v>
      </c>
      <c r="M138" s="193">
        <f>HLOOKUP($B$147,$C$129:$L$138,10)*(1+Gradiente)</f>
        <v>800788.32591118442</v>
      </c>
      <c r="N138" s="56" t="str">
        <f>FORMULATEXT(M138)</f>
        <v>=BUSCARH($B$147,$C$129:$L$138,10)*(1+Gradiente)</v>
      </c>
    </row>
    <row r="139" spans="1:26">
      <c r="A139" s="28" t="s">
        <v>321</v>
      </c>
      <c r="C139" s="62">
        <f>C168</f>
        <v>0.23506698959646138</v>
      </c>
      <c r="D139" s="62">
        <f t="shared" ref="D139:L139" si="70">D168</f>
        <v>0.26538861409191106</v>
      </c>
      <c r="E139" s="62">
        <f t="shared" si="70"/>
        <v>0.28511906784853613</v>
      </c>
      <c r="F139" s="62">
        <f t="shared" si="70"/>
        <v>0.29764627568567803</v>
      </c>
      <c r="G139" s="62">
        <f t="shared" si="70"/>
        <v>0.30623175216183951</v>
      </c>
      <c r="H139" s="62">
        <f t="shared" si="70"/>
        <v>0.31227425956559468</v>
      </c>
      <c r="I139" s="62">
        <f t="shared" si="70"/>
        <v>0.31660764047084455</v>
      </c>
      <c r="J139" s="62">
        <f t="shared" si="70"/>
        <v>0.31975561723906359</v>
      </c>
      <c r="K139" s="62">
        <f t="shared" si="70"/>
        <v>0.32206091434378387</v>
      </c>
      <c r="L139" s="62">
        <f t="shared" si="70"/>
        <v>0.32375534359493996</v>
      </c>
    </row>
    <row r="140" spans="1:26">
      <c r="A140" s="28" t="s">
        <v>322</v>
      </c>
      <c r="C140" s="122">
        <f>1+C139</f>
        <v>1.2350669895964614</v>
      </c>
      <c r="D140" s="122">
        <f>C140*(1+D139)</f>
        <v>1.562839706276135</v>
      </c>
      <c r="E140" s="122">
        <f t="shared" ref="E140:L140" si="71">D140*(1+E139)</f>
        <v>2.0084351065262664</v>
      </c>
      <c r="F140" s="122">
        <f t="shared" si="71"/>
        <v>2.6062383359401777</v>
      </c>
      <c r="G140" s="122">
        <f t="shared" si="71"/>
        <v>3.4043512681064949</v>
      </c>
      <c r="H140" s="122">
        <f t="shared" si="71"/>
        <v>4.4674425396556439</v>
      </c>
      <c r="I140" s="122">
        <f t="shared" si="71"/>
        <v>5.8818689810750948</v>
      </c>
      <c r="J140" s="122">
        <f t="shared" si="71"/>
        <v>7.7626296276380637</v>
      </c>
      <c r="K140" s="122">
        <f t="shared" si="71"/>
        <v>10.262669223227325</v>
      </c>
      <c r="L140" s="122">
        <f t="shared" si="71"/>
        <v>13.585263223794502</v>
      </c>
    </row>
    <row r="141" spans="1:26">
      <c r="A141" s="28" t="s">
        <v>356</v>
      </c>
      <c r="B141" s="44">
        <f>C72-C61</f>
        <v>379027.77777777775</v>
      </c>
      <c r="C141" s="44">
        <f t="shared" ref="C141:L141" si="72">D72-D61+B141-C49</f>
        <v>426781.94444444438</v>
      </c>
      <c r="D141" s="44">
        <f t="shared" si="72"/>
        <v>448761.49583333329</v>
      </c>
      <c r="E141" s="44">
        <f t="shared" si="72"/>
        <v>454170.86430694442</v>
      </c>
      <c r="F141" s="44">
        <f t="shared" si="72"/>
        <v>459963.83864029584</v>
      </c>
      <c r="G141" s="44">
        <f t="shared" si="72"/>
        <v>469236.41907331604</v>
      </c>
      <c r="H141" s="44">
        <f t="shared" si="72"/>
        <v>482381.80109526747</v>
      </c>
      <c r="I141" s="44">
        <f t="shared" si="72"/>
        <v>499837.61128569942</v>
      </c>
      <c r="J141" s="44">
        <f t="shared" si="72"/>
        <v>522090.92802765011</v>
      </c>
      <c r="K141" s="44">
        <f t="shared" si="72"/>
        <v>549683.86956144113</v>
      </c>
      <c r="L141" s="44">
        <f t="shared" si="72"/>
        <v>524683.86956144113</v>
      </c>
      <c r="M141" s="44">
        <f>(IF(Gradiente/(-C49/HLOOKUP(B147,$C$129:$L$138,10))=0,0,HLOOKUP($B$147,$C$129:$L$138,10)*(1+Gradiente)/(Gradiente/(-C49/HLOOKUP(B147,$C$129:$L$138,10)))))</f>
        <v>-858333.33333333337</v>
      </c>
      <c r="N141" s="56" t="str">
        <f>FORMULATEXT(M141)</f>
        <v>=(SI(Gradiente/(-C49/BUSCARH(B147,$C$129:$L$138,10))=0,0,BUSCARH($B$147,$C$129:$L$138,10)*(1+Gradiente)/(Gradiente/(-C49/BUSCARH(B147,$C$129:$L$138,10)))))</v>
      </c>
      <c r="O141" s="2"/>
      <c r="P141" s="56"/>
    </row>
    <row r="142" spans="1:26">
      <c r="A142" s="28" t="s">
        <v>323</v>
      </c>
      <c r="C142" s="54">
        <f t="shared" ref="C142:L142" si="73">C138/B141</f>
        <v>0.40920483693660675</v>
      </c>
      <c r="D142" s="54">
        <f t="shared" si="73"/>
        <v>0.60566292310345837</v>
      </c>
      <c r="E142" s="54">
        <f t="shared" si="73"/>
        <v>0.73811012547970123</v>
      </c>
      <c r="F142" s="54">
        <f t="shared" si="73"/>
        <v>0.82754727304125109</v>
      </c>
      <c r="G142" s="54">
        <f t="shared" si="73"/>
        <v>0.92553608027737866</v>
      </c>
      <c r="H142" s="54">
        <f t="shared" si="73"/>
        <v>1.0259929119490625</v>
      </c>
      <c r="I142" s="54">
        <f t="shared" si="73"/>
        <v>1.1270711171700569</v>
      </c>
      <c r="J142" s="54">
        <f t="shared" si="73"/>
        <v>1.2267898377883997</v>
      </c>
      <c r="K142" s="54">
        <f t="shared" si="73"/>
        <v>1.3231714087536486</v>
      </c>
      <c r="L142" s="54">
        <f t="shared" si="73"/>
        <v>1.4143845892891482</v>
      </c>
      <c r="M142" s="54">
        <f>Gradiente/(-C49/HLOOKUP(B147,$C$129:$L$138,10))</f>
        <v>-0.9329572729062342</v>
      </c>
      <c r="N142" s="56" t="str">
        <f>FORMULATEXT(M142)</f>
        <v>=Gradiente/(-C49/BUSCARH(B147,$C$129:$L$138,10))</v>
      </c>
      <c r="O142" s="54"/>
      <c r="P142" s="56"/>
    </row>
    <row r="143" spans="1:26" s="197" customFormat="1">
      <c r="A143" s="187" t="s">
        <v>324</v>
      </c>
      <c r="B143" s="188"/>
      <c r="C143" s="192">
        <f t="shared" ref="C143:L143" si="74">C138-C139*B141</f>
        <v>66003.081304341205</v>
      </c>
      <c r="D143" s="192">
        <f t="shared" si="74"/>
        <v>145222.9312444379</v>
      </c>
      <c r="E143" s="192">
        <f t="shared" si="74"/>
        <v>203284.94462168531</v>
      </c>
      <c r="F143" s="192">
        <f t="shared" si="74"/>
        <v>240665.59396609248</v>
      </c>
      <c r="G143" s="192">
        <f t="shared" si="74"/>
        <v>284857.59604657267</v>
      </c>
      <c r="H143" s="192">
        <f t="shared" si="74"/>
        <v>334902.78467025125</v>
      </c>
      <c r="I143" s="192">
        <f t="shared" si="74"/>
        <v>390952.83161209838</v>
      </c>
      <c r="J143" s="192">
        <f t="shared" si="74"/>
        <v>453369.81815376633</v>
      </c>
      <c r="K143" s="192">
        <f t="shared" si="74"/>
        <v>522670.70708466595</v>
      </c>
      <c r="L143" s="192">
        <f t="shared" si="74"/>
        <v>599501.30403006799</v>
      </c>
      <c r="M143" s="195">
        <f>HLOOKUP($B$147,$C$129:$L$138,10)*(1+Gradiente)-HLOOKUP(B147,$C$129:$L$139,11)*(IF(Gradiente/(-C49/HLOOKUP(B147,$C$129:$L$138,10))=0,0,HLOOKUP($B$147,$C$129:$L$138,10)*(1+Gradiente)/(Gradiente/(-C49/HLOOKUP(B147,$C$129:$L$138,10)))))</f>
        <v>1078678.329163508</v>
      </c>
      <c r="N143" s="196"/>
    </row>
    <row r="144" spans="1:26">
      <c r="A144" s="28" t="s">
        <v>325</v>
      </c>
      <c r="C144" s="56">
        <f t="shared" ref="C144:L144" si="75">B141*(C142-C139)</f>
        <v>66003.081304341205</v>
      </c>
      <c r="D144" s="56">
        <f t="shared" si="75"/>
        <v>145222.93124443787</v>
      </c>
      <c r="E144" s="56">
        <f t="shared" si="75"/>
        <v>203284.94462168534</v>
      </c>
      <c r="F144" s="56">
        <f t="shared" si="75"/>
        <v>240665.59396609248</v>
      </c>
      <c r="G144" s="56">
        <f t="shared" si="75"/>
        <v>284857.59604657267</v>
      </c>
      <c r="H144" s="56">
        <f t="shared" si="75"/>
        <v>334902.78467025125</v>
      </c>
      <c r="I144" s="56">
        <f t="shared" si="75"/>
        <v>390952.83161209838</v>
      </c>
      <c r="J144" s="56">
        <f t="shared" si="75"/>
        <v>453369.81815376639</v>
      </c>
      <c r="K144" s="56">
        <f t="shared" si="75"/>
        <v>522670.70708466595</v>
      </c>
      <c r="L144" s="56">
        <f t="shared" si="75"/>
        <v>599501.30403006822</v>
      </c>
    </row>
    <row r="145" spans="1:15">
      <c r="A145" s="28" t="s">
        <v>326</v>
      </c>
      <c r="C145" s="56">
        <f>C144/C140</f>
        <v>53440.891757544799</v>
      </c>
      <c r="D145" s="56">
        <f t="shared" ref="D145:K145" si="76">D144/D140</f>
        <v>92922.473534069984</v>
      </c>
      <c r="E145" s="56">
        <f t="shared" si="76"/>
        <v>101215.59016824861</v>
      </c>
      <c r="F145" s="56">
        <f t="shared" si="76"/>
        <v>92342.127980891077</v>
      </c>
      <c r="G145" s="56">
        <f t="shared" si="76"/>
        <v>83674.560470668133</v>
      </c>
      <c r="H145" s="56">
        <f t="shared" si="76"/>
        <v>74965.213698320105</v>
      </c>
      <c r="I145" s="56">
        <f t="shared" si="76"/>
        <v>66467.449864998445</v>
      </c>
      <c r="J145" s="56">
        <f t="shared" si="76"/>
        <v>58404.154249429688</v>
      </c>
      <c r="K145" s="56">
        <f t="shared" si="76"/>
        <v>50929.314364114376</v>
      </c>
      <c r="L145" s="56">
        <f>L144/L140+(M143/(L139-Gradiente))/L140</f>
        <v>314423.86324206315</v>
      </c>
    </row>
    <row r="146" spans="1:15" ht="15.75">
      <c r="A146" s="25" t="s">
        <v>327</v>
      </c>
      <c r="C146" s="123">
        <f>C145</f>
        <v>53440.891757544799</v>
      </c>
      <c r="D146" s="123">
        <f>C146+D145</f>
        <v>146363.36529161478</v>
      </c>
      <c r="E146" s="123">
        <f t="shared" ref="E146:L146" si="77">D146+E145</f>
        <v>247578.95545986341</v>
      </c>
      <c r="F146" s="123">
        <f t="shared" si="77"/>
        <v>339921.0834407545</v>
      </c>
      <c r="G146" s="123">
        <f t="shared" si="77"/>
        <v>423595.64391142264</v>
      </c>
      <c r="H146" s="123">
        <f t="shared" si="77"/>
        <v>498560.85760974273</v>
      </c>
      <c r="I146" s="123">
        <f t="shared" si="77"/>
        <v>565028.30747474113</v>
      </c>
      <c r="J146" s="123">
        <f t="shared" si="77"/>
        <v>623432.46172417083</v>
      </c>
      <c r="K146" s="123">
        <f t="shared" si="77"/>
        <v>674361.77608828526</v>
      </c>
      <c r="L146" s="123">
        <f t="shared" si="77"/>
        <v>988785.63933034847</v>
      </c>
      <c r="N146" s="54"/>
      <c r="O146" s="44"/>
    </row>
    <row r="147" spans="1:15">
      <c r="A147" s="28" t="s">
        <v>328</v>
      </c>
      <c r="B147" s="124">
        <v>10</v>
      </c>
    </row>
    <row r="148" spans="1:15" ht="15.75">
      <c r="A148" s="7" t="s">
        <v>906</v>
      </c>
      <c r="B148" s="2">
        <f>HLOOKUP(B147,$C$129:$L$146,18)</f>
        <v>988785.63933034847</v>
      </c>
      <c r="C148" t="str">
        <f>FORMULATEXT(B148)</f>
        <v>=BUSCARH(B147,$C$129:$L$146,18)</v>
      </c>
    </row>
    <row r="149" spans="1:15">
      <c r="A149" s="7" t="s">
        <v>905</v>
      </c>
      <c r="B149" s="44">
        <f>B141</f>
        <v>379027.77777777775</v>
      </c>
      <c r="C149" t="str">
        <f>FORMULATEXT(B149)</f>
        <v>=B141</v>
      </c>
      <c r="E149" s="54"/>
    </row>
    <row r="150" spans="1:15">
      <c r="A150" s="7" t="s">
        <v>907</v>
      </c>
      <c r="B150" s="2">
        <f>((IF(Gradiente/(-C49/HLOOKUP(B147,$C$129:$L$138,10))=0,0,HLOOKUP($B$147,$C$129:$L$138,10)*(1+Gradiente)/(Gradiente/(-C49/HLOOKUP(B147,$C$129:$L$138,10)))))-HLOOKUP($B$147,$C$129:$L$141,13))/(HLOOKUP($B$147,$C$129:$L$141,12))</f>
        <v>-101802.75347719643</v>
      </c>
      <c r="C150" t="str">
        <f>FORMULATEXT(B150)</f>
        <v>=((SI(Gradiente/(-C49/BUSCARH(B147,$C$129:$L$138,10))=0,0,BUSCARH($B$147,$C$129:$L$138,10)*(1+Gradiente)/(Gradiente/(-C49/BUSCARH(B147,$C$129:$L$138,10)))))-BUSCARH($B$147,$C$129:$L$141,13))/(BUSCARH($B$147,$C$129:$L$141,12))</v>
      </c>
    </row>
    <row r="151" spans="1:15">
      <c r="A151" s="28" t="s">
        <v>330</v>
      </c>
      <c r="B151" s="44">
        <f>-C63</f>
        <v>-223027.77777777772</v>
      </c>
      <c r="C151" t="str">
        <f>FORMULATEXT(B151)</f>
        <v>=-C63</v>
      </c>
    </row>
    <row r="152" spans="1:15">
      <c r="A152" s="32" t="s">
        <v>331</v>
      </c>
      <c r="B152" s="144">
        <f>SUM(B148:B151)</f>
        <v>1042982.885853152</v>
      </c>
      <c r="C152" t="str">
        <f>FORMULATEXT(B152)</f>
        <v>=SUMA(B148:B151)</v>
      </c>
    </row>
    <row r="153" spans="1:15">
      <c r="C153" s="54"/>
    </row>
    <row r="154" spans="1:15">
      <c r="A154" s="28"/>
    </row>
    <row r="155" spans="1:15">
      <c r="A155" s="28"/>
    </row>
    <row r="156" spans="1:15">
      <c r="A156" s="28"/>
    </row>
    <row r="157" spans="1:15">
      <c r="A157" s="28">
        <v>1</v>
      </c>
    </row>
    <row r="158" spans="1:15">
      <c r="A158" s="28" t="s">
        <v>332</v>
      </c>
      <c r="B158" t="s">
        <v>381</v>
      </c>
      <c r="C158" s="1">
        <f>C129</f>
        <v>1</v>
      </c>
      <c r="D158" s="1">
        <f t="shared" ref="D158:L158" si="78">D129</f>
        <v>2</v>
      </c>
      <c r="E158" s="1">
        <f t="shared" si="78"/>
        <v>3</v>
      </c>
      <c r="F158" s="1">
        <f t="shared" si="78"/>
        <v>4</v>
      </c>
      <c r="G158" s="1">
        <f t="shared" si="78"/>
        <v>5</v>
      </c>
      <c r="H158" s="1">
        <f t="shared" si="78"/>
        <v>6</v>
      </c>
      <c r="I158" s="1">
        <f t="shared" si="78"/>
        <v>7</v>
      </c>
      <c r="J158" s="1">
        <f t="shared" si="78"/>
        <v>8</v>
      </c>
      <c r="K158" s="1">
        <f t="shared" si="78"/>
        <v>9</v>
      </c>
      <c r="L158" s="1">
        <f t="shared" si="78"/>
        <v>10</v>
      </c>
    </row>
    <row r="159" spans="1:15" ht="16.5">
      <c r="A159" s="28" t="s">
        <v>396</v>
      </c>
      <c r="C159" s="54">
        <f t="shared" ref="C159:L159" si="79">SUMPRODUCT($B$161:$B$162,C161:C162)</f>
        <v>9.0715251630099553E-2</v>
      </c>
      <c r="D159" s="54">
        <f t="shared" si="79"/>
        <v>9.0715251630099539E-2</v>
      </c>
      <c r="E159" s="54">
        <f t="shared" si="79"/>
        <v>9.0715251630099553E-2</v>
      </c>
      <c r="F159" s="54">
        <f t="shared" si="79"/>
        <v>9.0715251630099553E-2</v>
      </c>
      <c r="G159" s="54">
        <f t="shared" si="79"/>
        <v>9.0715251630099539E-2</v>
      </c>
      <c r="H159" s="54">
        <f t="shared" si="79"/>
        <v>9.0715251630099553E-2</v>
      </c>
      <c r="I159" s="54">
        <f t="shared" si="79"/>
        <v>9.0715251630099553E-2</v>
      </c>
      <c r="J159" s="54">
        <f t="shared" si="79"/>
        <v>9.0715251630099566E-2</v>
      </c>
      <c r="K159" s="54">
        <f t="shared" si="79"/>
        <v>9.0715251630099553E-2</v>
      </c>
      <c r="L159" s="54">
        <f t="shared" si="79"/>
        <v>9.0715251630099553E-2</v>
      </c>
    </row>
    <row r="160" spans="1:15" outlineLevel="1">
      <c r="A160" s="28" t="str">
        <f>A94</f>
        <v>Pasivos</v>
      </c>
    </row>
    <row r="161" spans="1:12" outlineLevel="1">
      <c r="A161" s="28" t="str">
        <f>A95</f>
        <v>Obligaciones Financieras</v>
      </c>
      <c r="B161" s="54">
        <f>TIRLP</f>
        <v>9.0715251630099553E-2</v>
      </c>
      <c r="C161" s="54">
        <f>C95/SUM(C$95,C$99)</f>
        <v>9.9999999999999978E-2</v>
      </c>
      <c r="D161" s="54">
        <f t="shared" ref="D161:L161" si="80">D95/SUM(D$95,D$99)</f>
        <v>0.11111111111111109</v>
      </c>
      <c r="E161" s="54">
        <f t="shared" si="80"/>
        <v>0.12499999999999999</v>
      </c>
      <c r="F161" s="54">
        <f t="shared" si="80"/>
        <v>0.14285714285714285</v>
      </c>
      <c r="G161" s="54">
        <f t="shared" si="80"/>
        <v>0.16666666666666666</v>
      </c>
      <c r="H161" s="54">
        <f t="shared" si="80"/>
        <v>0.19999999999999998</v>
      </c>
      <c r="I161" s="54">
        <f t="shared" si="80"/>
        <v>0.25</v>
      </c>
      <c r="J161" s="54">
        <f t="shared" si="80"/>
        <v>0.33333333333333337</v>
      </c>
      <c r="K161" s="54">
        <f t="shared" si="80"/>
        <v>0.5</v>
      </c>
      <c r="L161" s="54">
        <f t="shared" si="80"/>
        <v>1</v>
      </c>
    </row>
    <row r="162" spans="1:12" outlineLevel="1">
      <c r="A162" s="28" t="str">
        <f>A99</f>
        <v>Pas. Fin . Largo Plazo</v>
      </c>
      <c r="B162" s="54">
        <f>B161</f>
        <v>9.0715251630099553E-2</v>
      </c>
      <c r="C162" s="54">
        <f>C99/SUM(C$95,C$99)</f>
        <v>0.9</v>
      </c>
      <c r="D162" s="54">
        <f t="shared" ref="D162:L162" si="81">D99/SUM(D$95,D$99)</f>
        <v>0.88888888888888884</v>
      </c>
      <c r="E162" s="54">
        <f t="shared" si="81"/>
        <v>0.875</v>
      </c>
      <c r="F162" s="54">
        <f t="shared" si="81"/>
        <v>0.8571428571428571</v>
      </c>
      <c r="G162" s="54">
        <f t="shared" si="81"/>
        <v>0.83333333333333326</v>
      </c>
      <c r="H162" s="54">
        <f t="shared" si="81"/>
        <v>0.79999999999999993</v>
      </c>
      <c r="I162" s="54">
        <f t="shared" si="81"/>
        <v>0.74999999999999989</v>
      </c>
      <c r="J162" s="54">
        <f t="shared" si="81"/>
        <v>0.66666666666666674</v>
      </c>
      <c r="K162" s="54">
        <f t="shared" si="81"/>
        <v>0.5</v>
      </c>
      <c r="L162" s="54">
        <f t="shared" si="81"/>
        <v>0</v>
      </c>
    </row>
    <row r="163" spans="1:12" outlineLevel="1">
      <c r="A163" s="28" t="str">
        <f>A100</f>
        <v>Total Pasivos</v>
      </c>
      <c r="B163" s="54"/>
      <c r="C163" s="54">
        <f t="shared" ref="C163:L163" si="82">C100/C$100</f>
        <v>1</v>
      </c>
      <c r="D163" s="54">
        <f t="shared" si="82"/>
        <v>1</v>
      </c>
      <c r="E163" s="54">
        <f t="shared" si="82"/>
        <v>1</v>
      </c>
      <c r="F163" s="54">
        <f t="shared" si="82"/>
        <v>1</v>
      </c>
      <c r="G163" s="54">
        <f t="shared" si="82"/>
        <v>1</v>
      </c>
      <c r="H163" s="54">
        <f t="shared" si="82"/>
        <v>1</v>
      </c>
      <c r="I163" s="54">
        <f t="shared" si="82"/>
        <v>1</v>
      </c>
      <c r="J163" s="54">
        <f t="shared" si="82"/>
        <v>1</v>
      </c>
      <c r="K163" s="54">
        <f t="shared" si="82"/>
        <v>1</v>
      </c>
      <c r="L163" s="54">
        <f t="shared" si="82"/>
        <v>1</v>
      </c>
    </row>
    <row r="164" spans="1:12">
      <c r="A164" s="28" t="s">
        <v>266</v>
      </c>
      <c r="C164" s="54">
        <f>SUM(C95,C99)/SUM(C95,C99,C108)</f>
        <v>0.43431175602136546</v>
      </c>
      <c r="D164" s="54">
        <f t="shared" ref="D164:L164" si="83">SUM(D95,D99)/SUM(D95,D99,D108)</f>
        <v>0.28788011850641548</v>
      </c>
      <c r="E164" s="54">
        <f t="shared" si="83"/>
        <v>0.1925962179710341</v>
      </c>
      <c r="F164" s="54">
        <f t="shared" si="83"/>
        <v>0.13209881429933817</v>
      </c>
      <c r="G164" s="54">
        <f t="shared" si="83"/>
        <v>9.0637138014841287E-2</v>
      </c>
      <c r="H164" s="54">
        <f t="shared" si="83"/>
        <v>6.1456173322106372E-2</v>
      </c>
      <c r="I164" s="54">
        <f t="shared" si="83"/>
        <v>4.052906032962874E-2</v>
      </c>
      <c r="J164" s="54">
        <f t="shared" si="83"/>
        <v>2.5326596718270644E-2</v>
      </c>
      <c r="K164" s="54">
        <f t="shared" si="83"/>
        <v>1.4193669785107131E-2</v>
      </c>
      <c r="L164" s="54">
        <f t="shared" si="83"/>
        <v>6.0107952185663848E-3</v>
      </c>
    </row>
    <row r="165" spans="1:12">
      <c r="A165" s="28" t="s">
        <v>333</v>
      </c>
      <c r="C165" s="54">
        <f>VLOOKUP($A$166,matrizke,C158+3)</f>
        <v>0.25</v>
      </c>
      <c r="D165" s="54">
        <f t="shared" ref="D165:L165" si="84">VLOOKUP($A$166,matrizke,D158+3)</f>
        <v>0.25</v>
      </c>
      <c r="E165" s="54">
        <f t="shared" si="84"/>
        <v>0.25</v>
      </c>
      <c r="F165" s="54">
        <f t="shared" si="84"/>
        <v>0.25</v>
      </c>
      <c r="G165" s="54">
        <f t="shared" si="84"/>
        <v>0.25</v>
      </c>
      <c r="H165" s="54">
        <f t="shared" si="84"/>
        <v>0.25</v>
      </c>
      <c r="I165" s="54">
        <f t="shared" si="84"/>
        <v>0.25</v>
      </c>
      <c r="J165" s="54">
        <f t="shared" si="84"/>
        <v>0.25</v>
      </c>
      <c r="K165" s="54">
        <f t="shared" si="84"/>
        <v>0.25</v>
      </c>
      <c r="L165" s="54">
        <f t="shared" si="84"/>
        <v>0.25</v>
      </c>
    </row>
    <row r="166" spans="1:12">
      <c r="A166" s="28">
        <v>1</v>
      </c>
      <c r="C166" s="54"/>
      <c r="D166" s="54"/>
      <c r="E166" s="54"/>
      <c r="F166" s="54"/>
      <c r="G166" s="54"/>
      <c r="H166" s="54"/>
      <c r="I166" s="54"/>
      <c r="J166" s="54"/>
      <c r="K166" s="54"/>
      <c r="L166" s="54"/>
    </row>
    <row r="167" spans="1:12">
      <c r="A167" s="28" t="s">
        <v>334</v>
      </c>
      <c r="B167" s="54">
        <v>0.3</v>
      </c>
    </row>
    <row r="168" spans="1:12">
      <c r="A168" s="28" t="s">
        <v>321</v>
      </c>
      <c r="C168" s="54">
        <f t="shared" ref="C168:L168" si="85">(C159*C164+C165*(1-C164))*(1+IF($A$166&lt;5,$B$167,0))</f>
        <v>0.23506698959646138</v>
      </c>
      <c r="D168" s="54">
        <f t="shared" si="85"/>
        <v>0.26538861409191106</v>
      </c>
      <c r="E168" s="54">
        <f t="shared" si="85"/>
        <v>0.28511906784853613</v>
      </c>
      <c r="F168" s="54">
        <f t="shared" si="85"/>
        <v>0.29764627568567803</v>
      </c>
      <c r="G168" s="54">
        <f t="shared" si="85"/>
        <v>0.30623175216183951</v>
      </c>
      <c r="H168" s="54">
        <f t="shared" si="85"/>
        <v>0.31227425956559468</v>
      </c>
      <c r="I168" s="54">
        <f t="shared" si="85"/>
        <v>0.31660764047084455</v>
      </c>
      <c r="J168" s="54">
        <f t="shared" si="85"/>
        <v>0.31975561723906359</v>
      </c>
      <c r="K168" s="54">
        <f t="shared" si="85"/>
        <v>0.32206091434378387</v>
      </c>
      <c r="L168" s="54">
        <f t="shared" si="85"/>
        <v>0.32375534359493996</v>
      </c>
    </row>
    <row r="169" spans="1:12">
      <c r="A169" s="28"/>
    </row>
    <row r="170" spans="1:12">
      <c r="A170" s="28"/>
    </row>
    <row r="171" spans="1:12">
      <c r="A171" s="28" t="s">
        <v>335</v>
      </c>
      <c r="B171" s="70" t="s">
        <v>810</v>
      </c>
      <c r="C171" s="1">
        <f>C40</f>
        <v>1</v>
      </c>
      <c r="D171" s="1">
        <f t="shared" ref="D171:L171" si="86">D40</f>
        <v>2</v>
      </c>
      <c r="E171" s="1">
        <f t="shared" si="86"/>
        <v>3</v>
      </c>
      <c r="F171" s="1">
        <f t="shared" si="86"/>
        <v>4</v>
      </c>
      <c r="G171" s="1">
        <f t="shared" si="86"/>
        <v>5</v>
      </c>
      <c r="H171" s="1">
        <f t="shared" si="86"/>
        <v>6</v>
      </c>
      <c r="I171" s="1">
        <f t="shared" si="86"/>
        <v>7</v>
      </c>
      <c r="J171" s="1">
        <f t="shared" si="86"/>
        <v>8</v>
      </c>
      <c r="K171" s="1">
        <f t="shared" si="86"/>
        <v>9</v>
      </c>
      <c r="L171" s="1">
        <f t="shared" si="86"/>
        <v>10</v>
      </c>
    </row>
    <row r="172" spans="1:12" outlineLevel="1">
      <c r="A172" s="28"/>
    </row>
    <row r="173" spans="1:12" outlineLevel="1">
      <c r="A173" s="28" t="str">
        <f>A58</f>
        <v>Ingresos</v>
      </c>
    </row>
    <row r="174" spans="1:12" outlineLevel="1">
      <c r="A174" s="28" t="s">
        <v>336</v>
      </c>
      <c r="C174" s="2">
        <f>C59*(1-C23)</f>
        <v>155099.99999999997</v>
      </c>
      <c r="D174" s="2">
        <f t="shared" ref="D174:L174" si="87">D59*(1-D23)</f>
        <v>258485.99999999997</v>
      </c>
      <c r="E174" s="2">
        <f t="shared" si="87"/>
        <v>331235.40400000004</v>
      </c>
      <c r="F174" s="2">
        <f t="shared" si="87"/>
        <v>375847.86025199993</v>
      </c>
      <c r="G174" s="2">
        <f t="shared" si="87"/>
        <v>425713.12828447612</v>
      </c>
      <c r="H174" s="2">
        <f t="shared" si="87"/>
        <v>481433.2399975821</v>
      </c>
      <c r="I174" s="2">
        <f t="shared" si="87"/>
        <v>543678.59546294727</v>
      </c>
      <c r="J174" s="2">
        <f t="shared" si="87"/>
        <v>613195.70206972433</v>
      </c>
      <c r="K174" s="2">
        <f t="shared" si="87"/>
        <v>690815.78873584559</v>
      </c>
      <c r="L174" s="2">
        <f t="shared" si="87"/>
        <v>777464.39408852858</v>
      </c>
    </row>
    <row r="175" spans="1:12" outlineLevel="1">
      <c r="A175" s="28" t="s">
        <v>26</v>
      </c>
      <c r="C175" s="2">
        <f>C60</f>
        <v>25000</v>
      </c>
      <c r="D175" s="2">
        <f t="shared" ref="D175:L175" si="88">D60</f>
        <v>25000</v>
      </c>
      <c r="E175" s="2">
        <f t="shared" si="88"/>
        <v>25000</v>
      </c>
      <c r="F175" s="2">
        <f t="shared" si="88"/>
        <v>25000</v>
      </c>
      <c r="G175" s="2">
        <f t="shared" si="88"/>
        <v>25000</v>
      </c>
      <c r="H175" s="2">
        <f t="shared" si="88"/>
        <v>25000</v>
      </c>
      <c r="I175" s="2">
        <f t="shared" si="88"/>
        <v>25000</v>
      </c>
      <c r="J175" s="2">
        <f t="shared" si="88"/>
        <v>25000</v>
      </c>
      <c r="K175" s="2">
        <f t="shared" si="88"/>
        <v>25000</v>
      </c>
      <c r="L175" s="2">
        <f t="shared" si="88"/>
        <v>25000</v>
      </c>
    </row>
    <row r="176" spans="1:12" outlineLevel="1">
      <c r="A176" s="28" t="s">
        <v>27</v>
      </c>
      <c r="B176" s="44">
        <f>C61</f>
        <v>140972.22222222222</v>
      </c>
      <c r="C176" s="44">
        <f>D61</f>
        <v>40479.166666666693</v>
      </c>
      <c r="D176" s="44">
        <f t="shared" ref="D176:L176" si="89">E61</f>
        <v>35488.548611111015</v>
      </c>
      <c r="E176" s="44">
        <f t="shared" si="89"/>
        <v>21461.560159722259</v>
      </c>
      <c r="F176" s="44">
        <f t="shared" si="89"/>
        <v>26939.369235548704</v>
      </c>
      <c r="G176" s="44">
        <f t="shared" si="89"/>
        <v>29983.51795916562</v>
      </c>
      <c r="H176" s="44">
        <f t="shared" si="89"/>
        <v>33371.655488551383</v>
      </c>
      <c r="I176" s="44">
        <f t="shared" si="89"/>
        <v>37142.652558757589</v>
      </c>
      <c r="J176" s="44">
        <f t="shared" si="89"/>
        <v>41339.772297897332</v>
      </c>
      <c r="K176" s="44">
        <f t="shared" si="89"/>
        <v>46011.166567559798</v>
      </c>
      <c r="L176" s="44">
        <f t="shared" si="89"/>
        <v>0</v>
      </c>
    </row>
    <row r="177" spans="1:13">
      <c r="A177" s="28" t="s">
        <v>337</v>
      </c>
      <c r="B177" s="2">
        <f t="shared" ref="B177:L177" si="90">SUM(B174:B176)</f>
        <v>140972.22222222222</v>
      </c>
      <c r="C177" s="2">
        <f t="shared" si="90"/>
        <v>220579.16666666666</v>
      </c>
      <c r="D177" s="2">
        <f t="shared" si="90"/>
        <v>318974.54861111101</v>
      </c>
      <c r="E177" s="2">
        <f t="shared" si="90"/>
        <v>377696.96415972232</v>
      </c>
      <c r="F177" s="2">
        <f t="shared" si="90"/>
        <v>427787.22948754864</v>
      </c>
      <c r="G177" s="2">
        <f t="shared" si="90"/>
        <v>480696.64624364174</v>
      </c>
      <c r="H177" s="2">
        <f t="shared" si="90"/>
        <v>539804.89548613352</v>
      </c>
      <c r="I177" s="2">
        <f t="shared" si="90"/>
        <v>605821.24802170484</v>
      </c>
      <c r="J177" s="2">
        <f t="shared" si="90"/>
        <v>679535.4743676217</v>
      </c>
      <c r="K177" s="2">
        <f t="shared" si="90"/>
        <v>761826.95530340541</v>
      </c>
      <c r="L177" s="2">
        <f t="shared" si="90"/>
        <v>802464.39408852858</v>
      </c>
    </row>
    <row r="178" spans="1:13" outlineLevel="1">
      <c r="A178" s="28"/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1:13" outlineLevel="1">
      <c r="A179" s="28" t="s">
        <v>30</v>
      </c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3" outlineLevel="1">
      <c r="A180" s="28" t="s">
        <v>31</v>
      </c>
      <c r="B180" s="44">
        <f>C67</f>
        <v>6666.666666666667</v>
      </c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3" outlineLevel="1">
      <c r="A181" s="28" t="s">
        <v>32</v>
      </c>
      <c r="B181" s="44">
        <f t="shared" ref="B181:C185" si="91">C68</f>
        <v>166666.66666666666</v>
      </c>
      <c r="C181" s="44">
        <f t="shared" si="91"/>
        <v>71666.666666666657</v>
      </c>
      <c r="D181" s="44">
        <f t="shared" ref="D181:L181" si="92">E68</f>
        <v>52194.999999999964</v>
      </c>
      <c r="E181" s="44">
        <f t="shared" si="92"/>
        <v>32829.701666666697</v>
      </c>
      <c r="F181" s="44">
        <f t="shared" si="92"/>
        <v>36539.457955000071</v>
      </c>
      <c r="G181" s="44">
        <f t="shared" si="92"/>
        <v>40668.416703915071</v>
      </c>
      <c r="H181" s="44">
        <f t="shared" si="92"/>
        <v>45263.947791457482</v>
      </c>
      <c r="I181" s="44">
        <f t="shared" si="92"/>
        <v>50378.773891892131</v>
      </c>
      <c r="J181" s="44">
        <f t="shared" si="92"/>
        <v>56071.575341675969</v>
      </c>
      <c r="K181" s="44">
        <f t="shared" si="92"/>
        <v>62407.663355285382</v>
      </c>
      <c r="L181" s="44">
        <f t="shared" si="92"/>
        <v>0</v>
      </c>
    </row>
    <row r="182" spans="1:13" outlineLevel="1">
      <c r="A182" s="28" t="s">
        <v>33</v>
      </c>
      <c r="B182" s="44">
        <f t="shared" si="91"/>
        <v>96666.666666666672</v>
      </c>
      <c r="C182" s="44">
        <f t="shared" si="91"/>
        <v>41566.666666666672</v>
      </c>
      <c r="D182" s="44">
        <f t="shared" ref="D182:L182" si="93">E69</f>
        <v>30273.099999999948</v>
      </c>
      <c r="E182" s="44">
        <f t="shared" si="93"/>
        <v>19041.226966666698</v>
      </c>
      <c r="F182" s="44">
        <f t="shared" si="93"/>
        <v>21192.885613900027</v>
      </c>
      <c r="G182" s="44">
        <f t="shared" si="93"/>
        <v>23587.681688270735</v>
      </c>
      <c r="H182" s="44">
        <f t="shared" si="93"/>
        <v>26253.089719045354</v>
      </c>
      <c r="I182" s="44">
        <f t="shared" si="93"/>
        <v>29219.688857297413</v>
      </c>
      <c r="J182" s="44">
        <f t="shared" si="93"/>
        <v>32521.513698172115</v>
      </c>
      <c r="K182" s="44">
        <f t="shared" si="93"/>
        <v>36196.444746065477</v>
      </c>
      <c r="L182" s="44">
        <f t="shared" si="93"/>
        <v>0</v>
      </c>
    </row>
    <row r="183" spans="1:13" outlineLevel="1">
      <c r="A183" s="28" t="s">
        <v>34</v>
      </c>
      <c r="B183" s="44">
        <f t="shared" si="91"/>
        <v>270000</v>
      </c>
      <c r="C183" s="44">
        <f t="shared" si="91"/>
        <v>113233.33333333333</v>
      </c>
      <c r="D183" s="44">
        <f t="shared" ref="D183:L183" si="94">E70</f>
        <v>82468.099999999919</v>
      </c>
      <c r="E183" s="44">
        <f t="shared" si="94"/>
        <v>51870.928633333395</v>
      </c>
      <c r="F183" s="44">
        <f t="shared" si="94"/>
        <v>57732.343568900098</v>
      </c>
      <c r="G183" s="44">
        <f t="shared" si="94"/>
        <v>64256.098392185806</v>
      </c>
      <c r="H183" s="44">
        <f t="shared" si="94"/>
        <v>71517.037510502836</v>
      </c>
      <c r="I183" s="44">
        <f t="shared" si="94"/>
        <v>79598.462749189552</v>
      </c>
      <c r="J183" s="44">
        <f t="shared" si="94"/>
        <v>88593.089039848084</v>
      </c>
      <c r="K183" s="44">
        <f t="shared" si="94"/>
        <v>98604.108101350866</v>
      </c>
      <c r="L183" s="44">
        <f t="shared" si="94"/>
        <v>0</v>
      </c>
    </row>
    <row r="184" spans="1:13" outlineLevel="1">
      <c r="A184" s="28" t="s">
        <v>35</v>
      </c>
      <c r="B184" s="44">
        <f t="shared" si="91"/>
        <v>250000</v>
      </c>
      <c r="C184" s="44"/>
      <c r="D184" s="44"/>
      <c r="E184" s="44"/>
      <c r="F184" s="44"/>
      <c r="G184" s="44"/>
      <c r="H184" s="44"/>
      <c r="I184" s="44"/>
      <c r="J184" s="44"/>
      <c r="K184" s="44"/>
      <c r="L184" s="44"/>
    </row>
    <row r="185" spans="1:13">
      <c r="A185" s="28" t="s">
        <v>36</v>
      </c>
      <c r="B185" s="44">
        <f t="shared" si="91"/>
        <v>520000</v>
      </c>
      <c r="C185" s="44">
        <f t="shared" si="91"/>
        <v>113233.33333333333</v>
      </c>
      <c r="D185" s="44">
        <f t="shared" ref="D185:L185" si="95">E72</f>
        <v>82468.099999999919</v>
      </c>
      <c r="E185" s="44">
        <f t="shared" si="95"/>
        <v>51870.928633333395</v>
      </c>
      <c r="F185" s="44">
        <f t="shared" si="95"/>
        <v>57732.343568900098</v>
      </c>
      <c r="G185" s="44">
        <f t="shared" si="95"/>
        <v>64256.098392185806</v>
      </c>
      <c r="H185" s="44">
        <f t="shared" si="95"/>
        <v>71517.037510502836</v>
      </c>
      <c r="I185" s="44">
        <f t="shared" si="95"/>
        <v>79598.462749189552</v>
      </c>
      <c r="J185" s="44">
        <f t="shared" si="95"/>
        <v>88593.089039848084</v>
      </c>
      <c r="K185" s="44">
        <f t="shared" si="95"/>
        <v>98604.108101350866</v>
      </c>
      <c r="L185" s="44">
        <f t="shared" si="95"/>
        <v>0</v>
      </c>
    </row>
    <row r="186" spans="1:13">
      <c r="A186" s="28"/>
    </row>
    <row r="187" spans="1:13">
      <c r="A187" s="189" t="s">
        <v>335</v>
      </c>
      <c r="B187" s="190">
        <f>B177-B185</f>
        <v>-379027.77777777775</v>
      </c>
      <c r="C187" s="190">
        <f>C177-C185</f>
        <v>107345.83333333333</v>
      </c>
      <c r="D187" s="190">
        <f t="shared" ref="D187:L187" si="96">D177-D185</f>
        <v>236506.44861111109</v>
      </c>
      <c r="E187" s="190">
        <f t="shared" si="96"/>
        <v>325826.03552638891</v>
      </c>
      <c r="F187" s="190">
        <f t="shared" si="96"/>
        <v>370054.88591864856</v>
      </c>
      <c r="G187" s="190">
        <f t="shared" si="96"/>
        <v>416440.54785145592</v>
      </c>
      <c r="H187" s="190">
        <f t="shared" si="96"/>
        <v>468287.85797563067</v>
      </c>
      <c r="I187" s="190">
        <f t="shared" si="96"/>
        <v>526222.78527251526</v>
      </c>
      <c r="J187" s="190">
        <f t="shared" si="96"/>
        <v>590942.38532777363</v>
      </c>
      <c r="K187" s="190">
        <f t="shared" si="96"/>
        <v>663222.84720205457</v>
      </c>
      <c r="L187" s="190">
        <f t="shared" si="96"/>
        <v>802464.39408852858</v>
      </c>
      <c r="M187" s="191"/>
    </row>
    <row r="188" spans="1:13" hidden="1">
      <c r="A188" s="28" t="s">
        <v>338</v>
      </c>
      <c r="B188" s="44">
        <f>B187</f>
        <v>-379027.77777777775</v>
      </c>
      <c r="C188" s="2">
        <f t="shared" ref="C188:L188" si="97">C187/C140</f>
        <v>86914.988609975626</v>
      </c>
      <c r="D188" s="2">
        <f t="shared" si="97"/>
        <v>151331.22588409795</v>
      </c>
      <c r="E188" s="2">
        <f t="shared" si="97"/>
        <v>162228.80911991652</v>
      </c>
      <c r="F188" s="2">
        <f t="shared" si="97"/>
        <v>141988.12166008391</v>
      </c>
      <c r="G188" s="2">
        <f t="shared" si="97"/>
        <v>122325.96317332458</v>
      </c>
      <c r="H188" s="2">
        <f t="shared" si="97"/>
        <v>104822.35727014564</v>
      </c>
      <c r="I188" s="2">
        <f t="shared" si="97"/>
        <v>89465.234088966681</v>
      </c>
      <c r="J188" s="2">
        <f t="shared" si="97"/>
        <v>76126.572266668838</v>
      </c>
      <c r="K188" s="2">
        <f t="shared" si="97"/>
        <v>64624.790371397095</v>
      </c>
      <c r="L188" s="2">
        <f t="shared" si="97"/>
        <v>59068.740948870043</v>
      </c>
    </row>
    <row r="189" spans="1:13" ht="15.75" hidden="1">
      <c r="A189" s="33" t="s">
        <v>339</v>
      </c>
      <c r="B189" s="44">
        <f>B188</f>
        <v>-379027.77777777775</v>
      </c>
      <c r="C189" s="44">
        <f>C188</f>
        <v>86914.988609975626</v>
      </c>
      <c r="D189" s="44">
        <f t="shared" ref="D189:L189" si="98">C189+D188</f>
        <v>238246.21449407359</v>
      </c>
      <c r="E189" s="44">
        <f t="shared" si="98"/>
        <v>400475.02361399011</v>
      </c>
      <c r="F189" s="44">
        <f t="shared" si="98"/>
        <v>542463.14527407405</v>
      </c>
      <c r="G189" s="44">
        <f t="shared" si="98"/>
        <v>664789.10844739864</v>
      </c>
      <c r="H189" s="44">
        <f t="shared" si="98"/>
        <v>769611.46571754431</v>
      </c>
      <c r="I189" s="44">
        <f t="shared" si="98"/>
        <v>859076.69980651094</v>
      </c>
      <c r="J189" s="44">
        <f t="shared" si="98"/>
        <v>935203.27207317972</v>
      </c>
      <c r="K189" s="44">
        <f t="shared" si="98"/>
        <v>999828.06244457676</v>
      </c>
      <c r="L189" s="44">
        <f t="shared" si="98"/>
        <v>1058896.8033934468</v>
      </c>
    </row>
    <row r="190" spans="1:13" hidden="1">
      <c r="A190" s="28" t="s">
        <v>811</v>
      </c>
      <c r="B190" s="54">
        <f>HLOOKUP(B196,$C$171:$L$190,20)</f>
        <v>0.28925423662807892</v>
      </c>
      <c r="C190" s="112" t="str">
        <f>IF(ISERROR((IRR($B$188:C188))),"''",(IRR($B$188:C188)))</f>
        <v>''</v>
      </c>
      <c r="D190" s="112">
        <f>IRR($B$188:D188)</f>
        <v>-0.24315531068589522</v>
      </c>
      <c r="E190" s="112">
        <f>IRR($B$188:E188)</f>
        <v>2.5562421250978851E-2</v>
      </c>
      <c r="F190" s="112">
        <f>IRR($B$188:F188)</f>
        <v>0.14858450914923857</v>
      </c>
      <c r="G190" s="112">
        <f>IRR($B$188:G188)</f>
        <v>0.21130999022534727</v>
      </c>
      <c r="H190" s="112">
        <f>IRR($B$188:H188)</f>
        <v>0.24568758528681511</v>
      </c>
      <c r="I190" s="112">
        <f>IRR($B$188:I188)</f>
        <v>0.26547195995264911</v>
      </c>
      <c r="J190" s="112">
        <f>IRR($B$188:J188)</f>
        <v>0.2772547217467341</v>
      </c>
      <c r="K190" s="112">
        <f>IRR($B$188:K188)</f>
        <v>0.28444566473002036</v>
      </c>
      <c r="L190" s="112">
        <f>IRR($B$188:L188)</f>
        <v>0.28925423662807892</v>
      </c>
    </row>
    <row r="191" spans="1:13" hidden="1">
      <c r="A191" s="28" t="s">
        <v>812</v>
      </c>
      <c r="B191" s="62">
        <f>AVERAGE(C168:L168)</f>
        <v>0.29839064745986532</v>
      </c>
    </row>
    <row r="192" spans="1:13" hidden="1">
      <c r="A192" s="28" t="s">
        <v>813</v>
      </c>
      <c r="B192" s="153" t="str">
        <f>IF(B190&gt;B191,"Proyecto Viable","Proyecto NO Rentable")</f>
        <v>Proyecto NO Rentable</v>
      </c>
    </row>
    <row r="193" spans="1:18" hidden="1">
      <c r="A193" s="28"/>
    </row>
    <row r="194" spans="1:18" hidden="1">
      <c r="A194" s="28" t="s">
        <v>340</v>
      </c>
    </row>
    <row r="195" spans="1:18" hidden="1">
      <c r="A195" s="28"/>
    </row>
    <row r="196" spans="1:18">
      <c r="A196" s="28" t="s">
        <v>328</v>
      </c>
      <c r="B196" s="125">
        <v>10</v>
      </c>
    </row>
    <row r="197" spans="1:18">
      <c r="A197" s="7" t="s">
        <v>329</v>
      </c>
      <c r="B197" s="2">
        <f>HLOOKUP($B$196,$C$171:$L$189,19)</f>
        <v>1058896.8033934468</v>
      </c>
      <c r="R197" s="112">
        <v>1</v>
      </c>
    </row>
    <row r="198" spans="1:18">
      <c r="A198" s="28" t="str">
        <f>IF(E198=0,"Sin Valor Residual","Con Valor Residual")</f>
        <v>Con Valor Residual</v>
      </c>
      <c r="B198" s="2">
        <f>IF(E198=0,0,HLOOKUP($B$196,$C$171:$L$189,18)*(1+IF(R197=1,B26,0))/(HLOOKUP(B196,$C$158:$L$168,11)-IF(R197=1,B26,0)))</f>
        <v>207113.86023748285</v>
      </c>
      <c r="C198" s="70" t="str">
        <f>IF(R197=1,"Con Crecimiento","Sin Crecimiento")</f>
        <v>Con Crecimiento</v>
      </c>
      <c r="D198" s="54"/>
      <c r="E198" s="112">
        <v>1</v>
      </c>
      <c r="O198" s="194"/>
      <c r="P198" s="44"/>
    </row>
    <row r="199" spans="1:18">
      <c r="A199" s="28" t="str">
        <f>A151</f>
        <v>Menos Pasivos Financieros Hoy</v>
      </c>
      <c r="B199" s="44">
        <f>B151</f>
        <v>-223027.77777777772</v>
      </c>
      <c r="O199" s="194"/>
      <c r="P199" s="44"/>
    </row>
    <row r="200" spans="1:18">
      <c r="A200" s="198" t="str">
        <f>A152</f>
        <v>VALOR PATRIMONIAL</v>
      </c>
      <c r="B200" s="199">
        <f>SUM(B197:B199)</f>
        <v>1042982.885853152</v>
      </c>
      <c r="P200" s="44"/>
    </row>
    <row r="201" spans="1:18">
      <c r="A201" s="28"/>
      <c r="O201" s="194"/>
      <c r="P201" s="2"/>
    </row>
    <row r="202" spans="1:18">
      <c r="A202" s="28" t="s">
        <v>345</v>
      </c>
      <c r="O202" s="194"/>
      <c r="P202" s="123"/>
    </row>
    <row r="203" spans="1:18" outlineLevel="1" collapsed="1">
      <c r="A203" s="28"/>
      <c r="P203" s="44"/>
    </row>
    <row r="204" spans="1:18" outlineLevel="1">
      <c r="A204" s="28"/>
      <c r="B204" s="126">
        <f>B152</f>
        <v>1042982.885853152</v>
      </c>
      <c r="C204" s="112">
        <f>B200</f>
        <v>1042982.885853152</v>
      </c>
      <c r="O204" s="194"/>
      <c r="P204" s="44"/>
    </row>
    <row r="205" spans="1:18" outlineLevel="1">
      <c r="A205" s="34">
        <v>0</v>
      </c>
      <c r="B205" s="56">
        <f t="dataTable" ref="B205:C210" dt2D="0" dtr="0" r1="B24"/>
        <v>1030608.9994469748</v>
      </c>
      <c r="C205" s="2">
        <v>1030608.9994469748</v>
      </c>
    </row>
    <row r="206" spans="1:18" outlineLevel="1">
      <c r="A206" s="34">
        <v>0.2</v>
      </c>
      <c r="B206" s="56">
        <v>1038466.1117131312</v>
      </c>
      <c r="C206" s="2">
        <v>1038466.111713131</v>
      </c>
    </row>
    <row r="207" spans="1:18" outlineLevel="1">
      <c r="A207" s="34">
        <v>0.4</v>
      </c>
      <c r="B207" s="56">
        <v>1047992.076667713</v>
      </c>
      <c r="C207" s="2">
        <v>1047992.0766677128</v>
      </c>
    </row>
    <row r="208" spans="1:18" outlineLevel="1">
      <c r="A208" s="34">
        <v>0.6</v>
      </c>
      <c r="B208" s="56">
        <v>1059941.9083409107</v>
      </c>
      <c r="C208" s="2">
        <v>1059941.9083409107</v>
      </c>
    </row>
    <row r="209" spans="1:6" outlineLevel="1">
      <c r="A209" s="34">
        <v>0.8</v>
      </c>
      <c r="B209" s="56">
        <v>1075717.633278735</v>
      </c>
      <c r="C209" s="2">
        <v>1075717.633278735</v>
      </c>
    </row>
    <row r="210" spans="1:6" outlineLevel="1">
      <c r="A210" s="34">
        <v>1</v>
      </c>
      <c r="B210" s="56">
        <v>1098425.9216049265</v>
      </c>
      <c r="C210" s="2">
        <v>1098425.9216049265</v>
      </c>
    </row>
    <row r="211" spans="1:6" outlineLevel="1">
      <c r="A211" s="28"/>
    </row>
    <row r="212" spans="1:6">
      <c r="A212" s="28"/>
    </row>
    <row r="213" spans="1:6">
      <c r="A213" s="25" t="s">
        <v>341</v>
      </c>
    </row>
    <row r="214" spans="1:6" outlineLevel="1">
      <c r="A214" s="28" t="s">
        <v>342</v>
      </c>
    </row>
    <row r="215" spans="1:6" outlineLevel="1">
      <c r="A215" s="28" t="s">
        <v>814</v>
      </c>
    </row>
    <row r="216" spans="1:6" outlineLevel="1">
      <c r="A216" s="28"/>
    </row>
    <row r="217" spans="1:6" outlineLevel="1">
      <c r="A217" s="28"/>
      <c r="B217" s="128">
        <f>C51</f>
        <v>235000</v>
      </c>
      <c r="C217" s="129">
        <f>C55</f>
        <v>134492.23333333334</v>
      </c>
      <c r="D217" s="130">
        <f>C80</f>
        <v>235442.77777777778</v>
      </c>
      <c r="E217" s="131">
        <f>C116</f>
        <v>5.904509672292007</v>
      </c>
      <c r="F217" s="132">
        <f>B152</f>
        <v>1042982.885853152</v>
      </c>
    </row>
    <row r="218" spans="1:6" outlineLevel="1">
      <c r="A218" s="35">
        <v>0</v>
      </c>
      <c r="B218" s="2">
        <f t="dataTable" ref="B218:F233" dt2D="0" dtr="0" r1="B4" ca="1"/>
        <v>-125000</v>
      </c>
      <c r="C218" s="2">
        <v>-149908.33333333331</v>
      </c>
      <c r="D218" s="2">
        <v>-120741.6666666667</v>
      </c>
      <c r="E218" s="57">
        <v>-21.895625707737857</v>
      </c>
      <c r="F218" s="2">
        <v>-376688.53320872644</v>
      </c>
    </row>
    <row r="219" spans="1:6" outlineLevel="1">
      <c r="A219" s="35">
        <v>100000</v>
      </c>
      <c r="B219" s="2">
        <v>-89000</v>
      </c>
      <c r="C219" s="2">
        <v>-114539.88888888888</v>
      </c>
      <c r="D219" s="2">
        <v>-85123.222222222204</v>
      </c>
      <c r="E219" s="57">
        <v>-9.6035837371868755</v>
      </c>
      <c r="F219" s="2">
        <v>-377077.17999917426</v>
      </c>
    </row>
    <row r="220" spans="1:6" outlineLevel="1">
      <c r="A220" s="35">
        <v>200000</v>
      </c>
      <c r="B220" s="2">
        <v>-52999.999999999985</v>
      </c>
      <c r="C220" s="2">
        <v>-79171.444444444423</v>
      </c>
      <c r="D220" s="2">
        <v>-49504.777777777716</v>
      </c>
      <c r="E220" s="57">
        <v>-3.8858195840437078</v>
      </c>
      <c r="F220" s="2">
        <v>829141.38123385713</v>
      </c>
    </row>
    <row r="221" spans="1:6" outlineLevel="1">
      <c r="A221" s="35">
        <v>300000</v>
      </c>
      <c r="B221" s="2">
        <v>-17000</v>
      </c>
      <c r="C221" s="2">
        <v>-43802.999999999993</v>
      </c>
      <c r="D221" s="2">
        <v>-13886.333333333332</v>
      </c>
      <c r="E221" s="57">
        <v>-0.54961537172737063</v>
      </c>
      <c r="F221" s="2">
        <v>111939.80776269559</v>
      </c>
    </row>
    <row r="222" spans="1:6" outlineLevel="1">
      <c r="A222" s="35">
        <v>400000</v>
      </c>
      <c r="B222" s="2">
        <v>19000.000000000029</v>
      </c>
      <c r="C222" s="2">
        <v>-8434.5555555555293</v>
      </c>
      <c r="D222" s="2">
        <v>21732.111111111164</v>
      </c>
      <c r="E222" s="57">
        <v>1.65124042424532</v>
      </c>
      <c r="F222" s="2">
        <v>241085.72285526508</v>
      </c>
    </row>
    <row r="223" spans="1:6" outlineLevel="1">
      <c r="A223" s="35">
        <v>500000</v>
      </c>
      <c r="B223" s="2">
        <v>55000</v>
      </c>
      <c r="C223" s="2">
        <v>17776.366666666669</v>
      </c>
      <c r="D223" s="2">
        <v>57350.55555555554</v>
      </c>
      <c r="E223" s="57">
        <v>2.949965343006232</v>
      </c>
      <c r="F223" s="2">
        <v>376922.39699456899</v>
      </c>
    </row>
    <row r="224" spans="1:6" outlineLevel="1">
      <c r="A224" s="35">
        <v>600000</v>
      </c>
      <c r="B224" s="2">
        <v>91000</v>
      </c>
      <c r="C224" s="2">
        <v>41119.539999999994</v>
      </c>
      <c r="D224" s="2">
        <v>92969.000000000044</v>
      </c>
      <c r="E224" s="57">
        <v>3.843418941559503</v>
      </c>
      <c r="F224" s="2">
        <v>512459.33608158818</v>
      </c>
    </row>
    <row r="225" spans="1:9" outlineLevel="1">
      <c r="A225" s="35">
        <v>700000</v>
      </c>
      <c r="B225" s="2">
        <v>127000</v>
      </c>
      <c r="C225" s="2">
        <v>64462.713333333333</v>
      </c>
      <c r="D225" s="2">
        <v>128587.44444444442</v>
      </c>
      <c r="E225" s="57">
        <v>4.5339424500236385</v>
      </c>
      <c r="F225" s="2">
        <v>646474.54092070623</v>
      </c>
    </row>
    <row r="226" spans="1:9" outlineLevel="1">
      <c r="A226" s="35">
        <v>800000</v>
      </c>
      <c r="B226" s="2">
        <v>163000.00000000006</v>
      </c>
      <c r="C226" s="2">
        <v>87805.886666666702</v>
      </c>
      <c r="D226" s="2">
        <v>164205.88888888896</v>
      </c>
      <c r="E226" s="57">
        <v>5.0837737061672312</v>
      </c>
      <c r="F226" s="2">
        <v>779392.73650046508</v>
      </c>
    </row>
    <row r="227" spans="1:9" outlineLevel="1">
      <c r="A227" s="35">
        <v>900000</v>
      </c>
      <c r="B227" s="2">
        <v>199000.00000000006</v>
      </c>
      <c r="C227" s="2">
        <v>111149.06000000006</v>
      </c>
      <c r="D227" s="2">
        <v>199824.33333333346</v>
      </c>
      <c r="E227" s="57">
        <v>5.5320219437776217</v>
      </c>
      <c r="F227" s="2">
        <v>911497.48406743503</v>
      </c>
    </row>
    <row r="228" spans="1:9" outlineLevel="1">
      <c r="A228" s="36">
        <v>1000000</v>
      </c>
      <c r="B228" s="36">
        <v>235000</v>
      </c>
      <c r="C228" s="36">
        <v>134492.23333333334</v>
      </c>
      <c r="D228" s="36">
        <v>235442.77777777778</v>
      </c>
      <c r="E228" s="127">
        <v>5.904509672292007</v>
      </c>
      <c r="F228" s="36">
        <v>1042982.885853152</v>
      </c>
    </row>
    <row r="229" spans="1:9" outlineLevel="1">
      <c r="A229" s="35">
        <v>1100000</v>
      </c>
      <c r="B229" s="2">
        <v>271000</v>
      </c>
      <c r="C229" s="2">
        <v>157835.40666666668</v>
      </c>
      <c r="D229" s="2">
        <v>271061.22222222231</v>
      </c>
      <c r="E229" s="57">
        <v>6.2189792389275889</v>
      </c>
      <c r="F229" s="2">
        <v>1173985.8085681067</v>
      </c>
    </row>
    <row r="230" spans="1:9" outlineLevel="1">
      <c r="A230" s="35">
        <v>1200000</v>
      </c>
      <c r="B230" s="2">
        <v>307000</v>
      </c>
      <c r="C230" s="2">
        <v>181178.58</v>
      </c>
      <c r="D230" s="2">
        <v>306679.66666666669</v>
      </c>
      <c r="E230" s="57">
        <v>6.4880271409439336</v>
      </c>
      <c r="F230" s="2">
        <v>1304605.4460200518</v>
      </c>
    </row>
    <row r="231" spans="1:9" outlineLevel="1">
      <c r="A231" s="35">
        <v>1300000</v>
      </c>
      <c r="B231" s="2">
        <v>343000</v>
      </c>
      <c r="C231" s="2">
        <v>204521.75333333333</v>
      </c>
      <c r="D231" s="2">
        <v>342298.11111111118</v>
      </c>
      <c r="E231" s="57">
        <v>6.7208452451111853</v>
      </c>
      <c r="F231" s="2">
        <v>1434915.445068063</v>
      </c>
    </row>
    <row r="232" spans="1:9" outlineLevel="1">
      <c r="A232" s="35">
        <v>1400000</v>
      </c>
      <c r="B232" s="2">
        <v>379000</v>
      </c>
      <c r="C232" s="2">
        <v>227864.92666666664</v>
      </c>
      <c r="D232" s="2">
        <v>377916.55555555556</v>
      </c>
      <c r="E232" s="57">
        <v>6.924299286457952</v>
      </c>
      <c r="F232" s="2">
        <v>1564971.6462837462</v>
      </c>
    </row>
    <row r="233" spans="1:9" outlineLevel="1">
      <c r="A233" s="35">
        <v>1500000</v>
      </c>
      <c r="B233" s="2">
        <v>415000.00000000012</v>
      </c>
      <c r="C233" s="2">
        <v>251208.10000000003</v>
      </c>
      <c r="D233" s="2">
        <v>413535.00000000017</v>
      </c>
      <c r="E233" s="57">
        <v>7.1036215360676795</v>
      </c>
      <c r="F233" s="2">
        <v>1694817.1721146062</v>
      </c>
    </row>
    <row r="234" spans="1:9">
      <c r="A234" s="28"/>
    </row>
    <row r="235" spans="1:9">
      <c r="A235" s="25" t="s">
        <v>343</v>
      </c>
    </row>
    <row r="236" spans="1:9">
      <c r="A236" s="28" t="s">
        <v>344</v>
      </c>
    </row>
    <row r="237" spans="1:9" outlineLevel="1">
      <c r="A237" s="28"/>
    </row>
    <row r="238" spans="1:9" outlineLevel="1">
      <c r="A238" s="37">
        <v>5</v>
      </c>
    </row>
    <row r="239" spans="1:9" outlineLevel="1">
      <c r="A239" s="135">
        <f>B200</f>
        <v>1042982.885853152</v>
      </c>
      <c r="B239" s="133">
        <v>0.5</v>
      </c>
      <c r="C239" s="133">
        <v>0.52</v>
      </c>
      <c r="D239" s="133">
        <v>0.54</v>
      </c>
      <c r="E239" s="133">
        <v>0.56000000000000005</v>
      </c>
      <c r="F239" s="133">
        <v>0.57999999999999996</v>
      </c>
      <c r="G239" s="133">
        <v>0.6</v>
      </c>
      <c r="H239" s="133">
        <v>0.62</v>
      </c>
      <c r="I239" s="133">
        <v>0.64</v>
      </c>
    </row>
    <row r="240" spans="1:9" outlineLevel="1">
      <c r="A240" s="35">
        <v>0</v>
      </c>
      <c r="B240" s="2">
        <f t="dataTable" ref="B240:I255" dt2D="1" dtr="0" r1="B7" r2="B4" ca="1"/>
        <v>-376688.53320872638</v>
      </c>
      <c r="C240" s="2">
        <v>-376688.53320872638</v>
      </c>
      <c r="D240" s="2">
        <v>-376688.53320872638</v>
      </c>
      <c r="E240" s="2">
        <v>-376688.53320872638</v>
      </c>
      <c r="F240" s="2">
        <v>-376688.53320872638</v>
      </c>
      <c r="G240" s="2">
        <v>-376688.53320872638</v>
      </c>
      <c r="H240" s="2">
        <v>-376688.53320872638</v>
      </c>
      <c r="I240" s="2">
        <v>-376688.53320872638</v>
      </c>
    </row>
    <row r="241" spans="1:9" outlineLevel="1">
      <c r="A241" s="35">
        <v>100000</v>
      </c>
      <c r="B241" s="2">
        <v>-258823.70785175654</v>
      </c>
      <c r="C241" s="2">
        <v>-274559.31914105517</v>
      </c>
      <c r="D241" s="2">
        <v>-295572.59519412753</v>
      </c>
      <c r="E241" s="2">
        <v>-325947.42591876793</v>
      </c>
      <c r="F241" s="2">
        <v>-377077.17999917432</v>
      </c>
      <c r="G241" s="2">
        <v>-495235.96577690338</v>
      </c>
      <c r="H241" s="2">
        <v>-1310038.1355946667</v>
      </c>
      <c r="I241" s="2">
        <v>240572.64340712526</v>
      </c>
    </row>
    <row r="242" spans="1:9" outlineLevel="1">
      <c r="A242" s="35">
        <v>200000</v>
      </c>
      <c r="B242" s="2">
        <v>76017.284007666749</v>
      </c>
      <c r="C242" s="2">
        <v>75412.720433033246</v>
      </c>
      <c r="D242" s="2">
        <v>90633.972687399597</v>
      </c>
      <c r="E242" s="2">
        <v>163271.95552316407</v>
      </c>
      <c r="F242" s="2">
        <v>829141.38123385713</v>
      </c>
      <c r="G242" s="2">
        <v>-432286.41181584867</v>
      </c>
      <c r="H242" s="2">
        <v>-261824.11864974478</v>
      </c>
      <c r="I242" s="2">
        <v>-201046.65444891516</v>
      </c>
    </row>
    <row r="243" spans="1:9" outlineLevel="1">
      <c r="A243" s="35">
        <v>300000</v>
      </c>
      <c r="B243" s="2">
        <v>212142.45980119758</v>
      </c>
      <c r="C243" s="2">
        <v>187035.42543550383</v>
      </c>
      <c r="D243" s="2">
        <v>161931.4438953452</v>
      </c>
      <c r="E243" s="2">
        <v>136874.24283869989</v>
      </c>
      <c r="F243" s="2">
        <v>111939.80776269553</v>
      </c>
      <c r="G243" s="2">
        <v>88587.837017008744</v>
      </c>
      <c r="H243" s="2">
        <v>67399.08090924198</v>
      </c>
      <c r="I243" s="2">
        <v>48743.660843220598</v>
      </c>
    </row>
    <row r="244" spans="1:9" outlineLevel="1">
      <c r="A244" s="35">
        <v>400000</v>
      </c>
      <c r="B244" s="2">
        <v>379542.63800000487</v>
      </c>
      <c r="C244" s="2">
        <v>344750.31746862648</v>
      </c>
      <c r="D244" s="2">
        <v>309781.05308767909</v>
      </c>
      <c r="E244" s="2">
        <v>274740.38379572495</v>
      </c>
      <c r="F244" s="2">
        <v>241085.72285526514</v>
      </c>
      <c r="G244" s="2">
        <v>207296.67271868492</v>
      </c>
      <c r="H244" s="2">
        <v>173377.31533187328</v>
      </c>
      <c r="I244" s="2">
        <v>139346.46872848336</v>
      </c>
    </row>
    <row r="245" spans="1:9" outlineLevel="1">
      <c r="A245" s="35">
        <v>500000</v>
      </c>
      <c r="B245" s="2">
        <v>548762.93018939486</v>
      </c>
      <c r="C245" s="2">
        <v>506097.58041678846</v>
      </c>
      <c r="D245" s="2">
        <v>463249.23277771962</v>
      </c>
      <c r="E245" s="2">
        <v>420198.38598939258</v>
      </c>
      <c r="F245" s="2">
        <v>376922.39699456899</v>
      </c>
      <c r="G245" s="2">
        <v>333394.79726612446</v>
      </c>
      <c r="H245" s="2">
        <v>289584.43628281262</v>
      </c>
      <c r="I245" s="2">
        <v>245951.63574523243</v>
      </c>
    </row>
    <row r="246" spans="1:9" outlineLevel="1">
      <c r="A246" s="35">
        <v>600000</v>
      </c>
      <c r="B246" s="2">
        <v>715740.08485527174</v>
      </c>
      <c r="C246" s="2">
        <v>665216.1058597198</v>
      </c>
      <c r="D246" s="2">
        <v>614508.54610773269</v>
      </c>
      <c r="E246" s="2">
        <v>563597.3999315477</v>
      </c>
      <c r="F246" s="2">
        <v>512459.33608158841</v>
      </c>
      <c r="G246" s="2">
        <v>461066.91750356357</v>
      </c>
      <c r="H246" s="2">
        <v>409387.57894183579</v>
      </c>
      <c r="I246" s="2">
        <v>357382.26896699728</v>
      </c>
    </row>
    <row r="247" spans="1:9" outlineLevel="1">
      <c r="A247" s="35">
        <v>700000</v>
      </c>
      <c r="B247" s="2">
        <v>881187.60458017956</v>
      </c>
      <c r="C247" s="2">
        <v>822804.05497925938</v>
      </c>
      <c r="D247" s="2">
        <v>764237.99306267593</v>
      </c>
      <c r="E247" s="2">
        <v>705469.31062463659</v>
      </c>
      <c r="F247" s="2">
        <v>646474.54092070612</v>
      </c>
      <c r="G247" s="2">
        <v>587226.06429882767</v>
      </c>
      <c r="H247" s="2">
        <v>527691.06114308536</v>
      </c>
      <c r="I247" s="2">
        <v>467830.10839943495</v>
      </c>
    </row>
    <row r="248" spans="1:9" outlineLevel="1">
      <c r="A248" s="35">
        <v>800000</v>
      </c>
      <c r="B248" s="2">
        <v>1045551.616088995</v>
      </c>
      <c r="C248" s="2">
        <v>979303.98807472968</v>
      </c>
      <c r="D248" s="2">
        <v>912875.57472542021</v>
      </c>
      <c r="E248" s="2">
        <v>846246.30026982096</v>
      </c>
      <c r="F248" s="2">
        <v>779392.73650046519</v>
      </c>
      <c r="G248" s="2">
        <v>712287.31294438813</v>
      </c>
      <c r="H248" s="2">
        <v>644897.27637462819</v>
      </c>
      <c r="I248" s="2">
        <v>577183.29626801028</v>
      </c>
    </row>
    <row r="249" spans="1:9" outlineLevel="1">
      <c r="A249" s="35">
        <v>900000</v>
      </c>
      <c r="B249" s="2">
        <v>1209120.7490366516</v>
      </c>
      <c r="C249" s="2">
        <v>1135003.8831972517</v>
      </c>
      <c r="D249" s="2">
        <v>1060708.2628098757</v>
      </c>
      <c r="E249" s="2">
        <v>986213.90296767501</v>
      </c>
      <c r="F249" s="2">
        <v>911497.48406743526</v>
      </c>
      <c r="G249" s="2">
        <v>836531.57076923118</v>
      </c>
      <c r="H249" s="2">
        <v>761283.58503575693</v>
      </c>
      <c r="I249" s="2">
        <v>685714.43253092573</v>
      </c>
    </row>
    <row r="250" spans="1:9" outlineLevel="1">
      <c r="A250" s="35">
        <v>1000000</v>
      </c>
      <c r="B250" s="2">
        <v>1372089.3299997849</v>
      </c>
      <c r="C250" s="2">
        <v>1290098.2745347475</v>
      </c>
      <c r="D250" s="2">
        <v>1207930.6429781513</v>
      </c>
      <c r="E250" s="2">
        <v>1125566.5721891569</v>
      </c>
      <c r="F250" s="134">
        <v>1042982.885853152</v>
      </c>
      <c r="G250" s="2">
        <v>960152.32270491589</v>
      </c>
      <c r="H250" s="2">
        <v>877042.52379751252</v>
      </c>
      <c r="I250" s="2">
        <v>793614.6810727159</v>
      </c>
    </row>
    <row r="251" spans="1:9" outlineLevel="1">
      <c r="A251" s="35">
        <v>1100000</v>
      </c>
      <c r="B251" s="2">
        <v>1534592.9167422736</v>
      </c>
      <c r="C251" s="2">
        <v>1444723.1776782617</v>
      </c>
      <c r="D251" s="2">
        <v>1354679.1099772854</v>
      </c>
      <c r="E251" s="2">
        <v>1264440.9911869394</v>
      </c>
      <c r="F251" s="2">
        <v>1173985.808568107</v>
      </c>
      <c r="G251" s="2">
        <v>1083286.4960867884</v>
      </c>
      <c r="H251" s="2">
        <v>992310.93501567189</v>
      </c>
      <c r="I251" s="2">
        <v>901020.6231564664</v>
      </c>
    </row>
    <row r="252" spans="1:9" outlineLevel="1">
      <c r="A252" s="35">
        <v>1200000</v>
      </c>
      <c r="B252" s="2">
        <v>1696728.976066316</v>
      </c>
      <c r="C252" s="2">
        <v>1598976.562165729</v>
      </c>
      <c r="D252" s="2">
        <v>1501052.0929840826</v>
      </c>
      <c r="E252" s="2">
        <v>1402935.9995276837</v>
      </c>
      <c r="F252" s="2">
        <v>1304605.4460200518</v>
      </c>
      <c r="G252" s="2">
        <v>1206033.5750062573</v>
      </c>
      <c r="H252" s="2">
        <v>1107188.5201233833</v>
      </c>
      <c r="I252" s="2">
        <v>1008032.0939769452</v>
      </c>
    </row>
    <row r="253" spans="1:9" outlineLevel="1">
      <c r="A253" s="35">
        <v>1300000</v>
      </c>
      <c r="B253" s="2">
        <v>1858569.4142843285</v>
      </c>
      <c r="C253" s="2">
        <v>1752930.810241523</v>
      </c>
      <c r="D253" s="2">
        <v>1647122.4254258575</v>
      </c>
      <c r="E253" s="2">
        <v>1541124.8534541216</v>
      </c>
      <c r="F253" s="2">
        <v>1434915.4450680632</v>
      </c>
      <c r="G253" s="2">
        <v>1328467.560762513</v>
      </c>
      <c r="H253" s="2">
        <v>1221749.5946713355</v>
      </c>
      <c r="I253" s="2">
        <v>1114723.6792676165</v>
      </c>
    </row>
    <row r="254" spans="1:9" outlineLevel="1">
      <c r="A254" s="35">
        <v>1400000</v>
      </c>
      <c r="B254" s="2">
        <v>2020168.4627369323</v>
      </c>
      <c r="C254" s="2">
        <v>1906640.5796578622</v>
      </c>
      <c r="D254" s="2">
        <v>1792945.1769750381</v>
      </c>
      <c r="E254" s="2">
        <v>1679063.0177124359</v>
      </c>
      <c r="F254" s="2">
        <v>1564971.6462837462</v>
      </c>
      <c r="G254" s="2">
        <v>1450644.6481726898</v>
      </c>
      <c r="H254" s="2">
        <v>1336050.6840747977</v>
      </c>
      <c r="I254" s="2">
        <v>1221152.2099059594</v>
      </c>
    </row>
    <row r="255" spans="1:9" outlineLevel="1">
      <c r="A255" s="35">
        <v>1500000</v>
      </c>
      <c r="B255" s="2">
        <v>2181567.809001084</v>
      </c>
      <c r="C255" s="2">
        <v>2060147.9310040877</v>
      </c>
      <c r="D255" s="2">
        <v>1938562.7727998837</v>
      </c>
      <c r="E255" s="2">
        <v>1816793.2719725086</v>
      </c>
      <c r="F255" s="2">
        <v>1694817.1721146062</v>
      </c>
      <c r="G255" s="2">
        <v>1572608.2892002829</v>
      </c>
      <c r="H255" s="2">
        <v>1450135.5553102349</v>
      </c>
      <c r="I255" s="2">
        <v>1327361.7527422972</v>
      </c>
    </row>
    <row r="256" spans="1:9">
      <c r="A256" s="28"/>
    </row>
    <row r="257" spans="1:1">
      <c r="A257" s="28"/>
    </row>
  </sheetData>
  <scenarios current="0" show="0" sqref="C47 C51 C55 C80 C116 B152 B203">
    <scenario name="Natural" locked="1" count="11" user="Werner Zitzmann" comment="Creado por Werner Zitzmann el 12/04/2008">
      <inputCells r="B4" val="1000000" numFmtId="173"/>
      <inputCells r="B7" val="0.58" numFmtId="9"/>
      <inputCells r="B8" val="6" numFmtId="185"/>
      <inputCells r="B9" val="100000" numFmtId="173"/>
      <inputCells r="B11" val="0.06" numFmtId="9"/>
      <inputCells r="B12" val="250000" numFmtId="173"/>
      <inputCells r="B15" val="0.12" numFmtId="10"/>
      <inputCells r="B20" val="75" numFmtId="177"/>
      <inputCells r="B21" val="60" numFmtId="177"/>
      <inputCells r="B24" val="0.3" numFmtId="9"/>
      <inputCells r="B26" val="0.03" numFmtId="10"/>
    </scenario>
    <scenario name="Optimista" locked="1" count="11" user="Werner Zitzmann" comment="Creado por Werner Zitzmann el 12/04/2008">
      <inputCells r="B4" val="1200000" numFmtId="173"/>
      <inputCells r="B7" val="0.5" numFmtId="9"/>
      <inputCells r="B8" val="8" numFmtId="185"/>
      <inputCells r="B9" val="80000" numFmtId="173"/>
      <inputCells r="B11" val="0.04" numFmtId="9"/>
      <inputCells r="B12" val="200000" numFmtId="173"/>
      <inputCells r="B15" val="0.1" numFmtId="10"/>
      <inputCells r="B20" val="90" numFmtId="177"/>
      <inputCells r="B21" val="45" numFmtId="177"/>
      <inputCells r="B24" val="0.4" numFmtId="9"/>
      <inputCells r="B26" val="0.04" numFmtId="10"/>
    </scenario>
    <scenario name="Pesimista" locked="1" count="11" user="Werner Zitzmann" comment="Creado por Werner Zitzmann el 12/04/2008">
      <inputCells r="B4" val="800000" numFmtId="173"/>
      <inputCells r="B7" val="0.65" numFmtId="9"/>
      <inputCells r="B8" val="4" numFmtId="185"/>
      <inputCells r="B9" val="120000" numFmtId="173"/>
      <inputCells r="B11" val="0.08" numFmtId="9"/>
      <inputCells r="B12" val="300000" numFmtId="173"/>
      <inputCells r="B15" val="0.18" numFmtId="10"/>
      <inputCells r="B20" val="60" numFmtId="177"/>
      <inputCells r="B21" val="45" numFmtId="177"/>
      <inputCells r="B24" val="0.1" numFmtId="9"/>
      <inputCells r="B26" val="0.01" numFmtId="10"/>
    </scenario>
  </scenarios>
  <phoneticPr fontId="2" type="noConversion"/>
  <conditionalFormatting sqref="C117:L117">
    <cfRule type="expression" dxfId="11" priority="1" stopIfTrue="1">
      <formula>C116&lt;1.1</formula>
    </cfRule>
  </conditionalFormatting>
  <conditionalFormatting sqref="C116:L116">
    <cfRule type="cellIs" dxfId="10" priority="2" stopIfTrue="1" operator="lessThan">
      <formula>1.1</formula>
    </cfRule>
  </conditionalFormatting>
  <conditionalFormatting sqref="B197:B198 A239:I255 D41:L55">
    <cfRule type="cellIs" dxfId="9" priority="3" stopIfTrue="1" operator="lessThan">
      <formula>0</formula>
    </cfRule>
  </conditionalFormatting>
  <conditionalFormatting sqref="B192">
    <cfRule type="expression" dxfId="8" priority="4" stopIfTrue="1">
      <formula>$B$190&lt;$B$191</formula>
    </cfRule>
  </conditionalFormatting>
  <dataValidations disablePrompts="1" xWindow="192" yWindow="453" count="3">
    <dataValidation type="list" allowBlank="1" showInputMessage="1" showErrorMessage="1" sqref="B196">
      <formula1>Lista</formula1>
    </dataValidation>
    <dataValidation type="decimal" allowBlank="1" showInputMessage="1" showErrorMessage="1" errorTitle="Máximo Endeudamiento" error="80%" promptTitle="Coloque el nivel" prompt="de Endeudamiento deseado" sqref="B14">
      <formula1>0</formula1>
      <formula2>0.8</formula2>
    </dataValidation>
    <dataValidation type="list" allowBlank="1" showInputMessage="1" showErrorMessage="1" promptTitle="Seleccione el horizonte" prompt="con la flecha" sqref="B147">
      <formula1>Lista</formula1>
    </dataValidation>
  </dataValidations>
  <hyperlinks>
    <hyperlink ref="A127" r:id="rId1"/>
    <hyperlink ref="A213" location="Conceptos!A69" display="Análisis de Sensibilidad con 1 var. Independiente y n dependientes"/>
    <hyperlink ref="A235" location="Conceptos!A90" display="Análisis de sensibilidad con 2 variables independientes y 1 variable dependiente"/>
    <hyperlink ref="A146" location="Pasos!A78" display="MVA = S VNA EVA j"/>
    <hyperlink ref="A67" location="Pasos!A10" display="Efectivo"/>
    <hyperlink ref="A68" location="Pasos!A11" display="Cartera"/>
    <hyperlink ref="A69" location="Pasos!A15" display="Inventarios"/>
    <hyperlink ref="A61" location="Pasos!A20" display="Ctas x Pagar con Proveedores"/>
    <hyperlink ref="A115" location="Conceptos!A128" display="Predictor de Quiebra de Altman"/>
  </hyperlinks>
  <pageMargins left="0.75" right="0.75" top="1" bottom="1" header="0" footer="0"/>
  <pageSetup orientation="portrait" horizontalDpi="4294967293" verticalDpi="0" r:id="rId2"/>
  <headerFooter alignWithMargins="0"/>
  <ignoredErrors>
    <ignoredError sqref="A198 C54:D54" formula="1"/>
  </ignoredErrors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6">
    <tabColor theme="6" tint="-0.249977111117893"/>
    <outlinePr summaryBelow="0"/>
  </sheetPr>
  <dimension ref="B1:G27"/>
  <sheetViews>
    <sheetView showGridLines="0" workbookViewId="0"/>
  </sheetViews>
  <sheetFormatPr baseColWidth="10" defaultRowHeight="12.75" outlineLevelRow="1" outlineLevelCol="1"/>
  <cols>
    <col min="3" max="3" width="15.7109375" bestFit="1" customWidth="1"/>
    <col min="4" max="7" width="14.5703125" bestFit="1" customWidth="1" outlineLevel="1"/>
  </cols>
  <sheetData>
    <row r="1" spans="2:7" ht="13.5" thickBot="1"/>
    <row r="2" spans="2:7" ht="15">
      <c r="B2" s="243" t="s">
        <v>886</v>
      </c>
      <c r="C2" s="243"/>
      <c r="D2" s="161"/>
      <c r="E2" s="161"/>
      <c r="F2" s="161"/>
      <c r="G2" s="161"/>
    </row>
    <row r="3" spans="2:7" ht="15" collapsed="1">
      <c r="B3" s="242"/>
      <c r="C3" s="242"/>
      <c r="D3" s="162" t="s">
        <v>888</v>
      </c>
      <c r="E3" s="162" t="s">
        <v>882</v>
      </c>
      <c r="F3" s="162" t="s">
        <v>884</v>
      </c>
      <c r="G3" s="162" t="s">
        <v>885</v>
      </c>
    </row>
    <row r="4" spans="2:7" ht="33.75" hidden="1" outlineLevel="1">
      <c r="B4" s="244"/>
      <c r="C4" s="244"/>
      <c r="D4" s="154"/>
      <c r="E4" s="168" t="s">
        <v>883</v>
      </c>
      <c r="F4" s="168" t="s">
        <v>883</v>
      </c>
      <c r="G4" s="168" t="s">
        <v>883</v>
      </c>
    </row>
    <row r="5" spans="2:7">
      <c r="B5" s="245" t="s">
        <v>887</v>
      </c>
      <c r="C5" s="245"/>
      <c r="D5" s="160"/>
      <c r="E5" s="160"/>
      <c r="F5" s="160"/>
      <c r="G5" s="160"/>
    </row>
    <row r="6" spans="2:7" outlineLevel="1">
      <c r="B6" s="244"/>
      <c r="C6" s="244" t="s">
        <v>2</v>
      </c>
      <c r="D6" s="155">
        <v>1000000</v>
      </c>
      <c r="E6" s="163">
        <v>1000000</v>
      </c>
      <c r="F6" s="163">
        <v>1200000</v>
      </c>
      <c r="G6" s="163">
        <v>800000</v>
      </c>
    </row>
    <row r="7" spans="2:7" outlineLevel="1">
      <c r="B7" s="244"/>
      <c r="C7" s="244" t="s">
        <v>872</v>
      </c>
      <c r="D7" s="156">
        <v>0.57999999999999996</v>
      </c>
      <c r="E7" s="164">
        <v>0.57999999999999996</v>
      </c>
      <c r="F7" s="164">
        <v>0.5</v>
      </c>
      <c r="G7" s="164">
        <v>0.65</v>
      </c>
    </row>
    <row r="8" spans="2:7" outlineLevel="1">
      <c r="B8" s="244"/>
      <c r="C8" s="244" t="s">
        <v>873</v>
      </c>
      <c r="D8" s="157">
        <v>6</v>
      </c>
      <c r="E8" s="165">
        <v>6</v>
      </c>
      <c r="F8" s="165">
        <v>8</v>
      </c>
      <c r="G8" s="165">
        <v>4</v>
      </c>
    </row>
    <row r="9" spans="2:7" outlineLevel="1">
      <c r="B9" s="244"/>
      <c r="C9" s="244" t="s">
        <v>874</v>
      </c>
      <c r="D9" s="155">
        <v>100000</v>
      </c>
      <c r="E9" s="163">
        <v>100000</v>
      </c>
      <c r="F9" s="163">
        <v>80000</v>
      </c>
      <c r="G9" s="163">
        <v>120000</v>
      </c>
    </row>
    <row r="10" spans="2:7" outlineLevel="1">
      <c r="B10" s="244"/>
      <c r="C10" s="244" t="s">
        <v>875</v>
      </c>
      <c r="D10" s="156">
        <v>0.06</v>
      </c>
      <c r="E10" s="164">
        <v>0.06</v>
      </c>
      <c r="F10" s="164">
        <v>0.04</v>
      </c>
      <c r="G10" s="164">
        <v>0.08</v>
      </c>
    </row>
    <row r="11" spans="2:7" outlineLevel="1">
      <c r="B11" s="244"/>
      <c r="C11" s="244" t="s">
        <v>876</v>
      </c>
      <c r="D11" s="155">
        <v>250000</v>
      </c>
      <c r="E11" s="163">
        <v>250000</v>
      </c>
      <c r="F11" s="163">
        <v>200000</v>
      </c>
      <c r="G11" s="163">
        <v>300000</v>
      </c>
    </row>
    <row r="12" spans="2:7" outlineLevel="1">
      <c r="B12" s="244"/>
      <c r="C12" s="244" t="s">
        <v>877</v>
      </c>
      <c r="D12" s="158">
        <v>0.12</v>
      </c>
      <c r="E12" s="166">
        <v>0.12</v>
      </c>
      <c r="F12" s="166">
        <v>0.1</v>
      </c>
      <c r="G12" s="166">
        <v>0.18</v>
      </c>
    </row>
    <row r="13" spans="2:7" outlineLevel="1">
      <c r="B13" s="244"/>
      <c r="C13" s="244" t="s">
        <v>878</v>
      </c>
      <c r="D13" s="159">
        <v>75</v>
      </c>
      <c r="E13" s="167">
        <v>75</v>
      </c>
      <c r="F13" s="167">
        <v>90</v>
      </c>
      <c r="G13" s="167">
        <v>60</v>
      </c>
    </row>
    <row r="14" spans="2:7" outlineLevel="1">
      <c r="B14" s="244"/>
      <c r="C14" s="244" t="s">
        <v>879</v>
      </c>
      <c r="D14" s="159">
        <v>60</v>
      </c>
      <c r="E14" s="167">
        <v>60</v>
      </c>
      <c r="F14" s="167">
        <v>45</v>
      </c>
      <c r="G14" s="167">
        <v>45</v>
      </c>
    </row>
    <row r="15" spans="2:7" outlineLevel="1">
      <c r="B15" s="244"/>
      <c r="C15" s="244" t="s">
        <v>880</v>
      </c>
      <c r="D15" s="156">
        <v>0.3</v>
      </c>
      <c r="E15" s="164">
        <v>0.3</v>
      </c>
      <c r="F15" s="164">
        <v>0.4</v>
      </c>
      <c r="G15" s="164">
        <v>0.1</v>
      </c>
    </row>
    <row r="16" spans="2:7" outlineLevel="1">
      <c r="B16" s="244"/>
      <c r="C16" s="244" t="s">
        <v>881</v>
      </c>
      <c r="D16" s="158">
        <v>0.03</v>
      </c>
      <c r="E16" s="166">
        <v>0.03</v>
      </c>
      <c r="F16" s="166">
        <v>0.04</v>
      </c>
      <c r="G16" s="166">
        <v>0.01</v>
      </c>
    </row>
    <row r="17" spans="2:7">
      <c r="B17" s="245" t="s">
        <v>889</v>
      </c>
      <c r="C17" s="245"/>
      <c r="D17" s="160"/>
      <c r="E17" s="160"/>
      <c r="F17" s="160"/>
      <c r="G17" s="160"/>
    </row>
    <row r="18" spans="2:7" outlineLevel="1">
      <c r="B18" s="244"/>
      <c r="C18" s="244" t="s">
        <v>893</v>
      </c>
      <c r="D18" s="155">
        <v>420000</v>
      </c>
      <c r="E18" s="155">
        <v>420000</v>
      </c>
      <c r="F18" s="155">
        <v>600000</v>
      </c>
      <c r="G18" s="155">
        <v>280000</v>
      </c>
    </row>
    <row r="19" spans="2:7" outlineLevel="1">
      <c r="B19" s="244"/>
      <c r="C19" s="244" t="s">
        <v>894</v>
      </c>
      <c r="D19" s="155">
        <v>235000</v>
      </c>
      <c r="E19" s="155">
        <v>235000</v>
      </c>
      <c r="F19" s="155">
        <v>452000</v>
      </c>
      <c r="G19" s="155">
        <v>66000</v>
      </c>
    </row>
    <row r="20" spans="2:7" outlineLevel="1">
      <c r="B20" s="244"/>
      <c r="C20" s="244" t="s">
        <v>895</v>
      </c>
      <c r="D20" s="155">
        <v>134492.23333333299</v>
      </c>
      <c r="E20" s="155">
        <v>134492.23333333299</v>
      </c>
      <c r="F20" s="155">
        <v>288123</v>
      </c>
      <c r="G20" s="155">
        <v>8179.6</v>
      </c>
    </row>
    <row r="21" spans="2:7" outlineLevel="1">
      <c r="B21" s="244"/>
      <c r="C21" s="244" t="s">
        <v>896</v>
      </c>
      <c r="D21" s="155">
        <v>235442.77777777801</v>
      </c>
      <c r="E21" s="155">
        <v>235442.77777777801</v>
      </c>
      <c r="F21" s="155">
        <v>456550</v>
      </c>
      <c r="G21" s="155">
        <v>50060</v>
      </c>
    </row>
    <row r="22" spans="2:7" outlineLevel="1">
      <c r="B22" s="244"/>
      <c r="C22" s="244" t="s">
        <v>897</v>
      </c>
      <c r="D22" s="169">
        <v>5.9045096722920096</v>
      </c>
      <c r="E22" s="169">
        <v>5.9045096722920096</v>
      </c>
      <c r="F22" s="169">
        <v>8.2707902121558305</v>
      </c>
      <c r="G22" s="169">
        <v>3.00047290007176</v>
      </c>
    </row>
    <row r="23" spans="2:7" outlineLevel="1">
      <c r="B23" s="244"/>
      <c r="C23" s="244" t="s">
        <v>898</v>
      </c>
      <c r="D23" s="155">
        <v>731261.44336421206</v>
      </c>
      <c r="E23" s="155">
        <v>731261.44336421206</v>
      </c>
      <c r="F23" s="155">
        <v>1653491.8164166301</v>
      </c>
      <c r="G23" s="155">
        <v>130972.667606399</v>
      </c>
    </row>
    <row r="24" spans="2:7" ht="13.5" outlineLevel="1" thickBot="1">
      <c r="B24" s="246"/>
      <c r="C24" s="246" t="s">
        <v>899</v>
      </c>
      <c r="D24" s="170">
        <v>731261.44336421206</v>
      </c>
      <c r="E24" s="170">
        <v>731261.44336421206</v>
      </c>
      <c r="F24" s="170">
        <v>1653491.8164166301</v>
      </c>
      <c r="G24" s="170">
        <v>130972.667606399</v>
      </c>
    </row>
    <row r="25" spans="2:7">
      <c r="B25" t="s">
        <v>890</v>
      </c>
    </row>
    <row r="26" spans="2:7">
      <c r="B26" t="s">
        <v>891</v>
      </c>
    </row>
    <row r="27" spans="2:7">
      <c r="B27" t="s">
        <v>892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Hoja2" enableFormatConditionsCalculation="0">
    <tabColor indexed="49"/>
  </sheetPr>
  <dimension ref="A1:M47"/>
  <sheetViews>
    <sheetView zoomScale="115" workbookViewId="0"/>
  </sheetViews>
  <sheetFormatPr baseColWidth="10" defaultRowHeight="12.75"/>
  <cols>
    <col min="1" max="1" width="20.7109375" customWidth="1"/>
    <col min="2" max="2" width="11.5703125" bestFit="1" customWidth="1"/>
    <col min="3" max="3" width="11.140625" bestFit="1" customWidth="1"/>
    <col min="4" max="4" width="12.5703125" bestFit="1" customWidth="1"/>
    <col min="5" max="5" width="10" customWidth="1"/>
    <col min="6" max="6" width="8.85546875" customWidth="1"/>
    <col min="7" max="7" width="9" customWidth="1"/>
  </cols>
  <sheetData>
    <row r="1" spans="1:5">
      <c r="A1" t="s">
        <v>357</v>
      </c>
    </row>
    <row r="3" spans="1:5">
      <c r="A3" t="s">
        <v>358</v>
      </c>
      <c r="B3" t="s">
        <v>359</v>
      </c>
      <c r="C3" t="s">
        <v>360</v>
      </c>
      <c r="D3" t="s">
        <v>371</v>
      </c>
    </row>
    <row r="4" spans="1:5">
      <c r="A4" t="s">
        <v>361</v>
      </c>
      <c r="B4" s="58">
        <v>100</v>
      </c>
      <c r="C4" s="47">
        <f>B4</f>
        <v>100</v>
      </c>
      <c r="D4" s="47">
        <f>B4</f>
        <v>100</v>
      </c>
    </row>
    <row r="5" spans="1:5">
      <c r="A5" t="s">
        <v>362</v>
      </c>
      <c r="B5" s="3">
        <v>0.12</v>
      </c>
      <c r="C5" s="47">
        <f>B5*C4*B6/360</f>
        <v>3</v>
      </c>
      <c r="D5" s="57">
        <f>C5*(1-tax)</f>
        <v>1.9799999999999998</v>
      </c>
    </row>
    <row r="6" spans="1:5">
      <c r="A6" t="s">
        <v>363</v>
      </c>
      <c r="B6" s="59">
        <v>90</v>
      </c>
      <c r="C6" s="47"/>
      <c r="D6" s="47"/>
    </row>
    <row r="7" spans="1:5">
      <c r="A7" t="s">
        <v>364</v>
      </c>
      <c r="B7" s="3">
        <v>0.3</v>
      </c>
      <c r="C7" s="47">
        <f>B7*C4</f>
        <v>30</v>
      </c>
      <c r="D7" s="47">
        <f>C7</f>
        <v>30</v>
      </c>
    </row>
    <row r="8" spans="1:5">
      <c r="A8" t="s">
        <v>365</v>
      </c>
      <c r="B8" s="3">
        <v>1</v>
      </c>
      <c r="C8" s="47"/>
      <c r="D8" s="47"/>
    </row>
    <row r="9" spans="1:5">
      <c r="A9" t="s">
        <v>366</v>
      </c>
      <c r="B9" s="3">
        <v>0.04</v>
      </c>
      <c r="C9" s="47">
        <f>B9*C7*B6/360*B8</f>
        <v>0.3</v>
      </c>
      <c r="D9" s="60">
        <f>C9*(1-tax)</f>
        <v>0.19799999999999998</v>
      </c>
      <c r="E9" s="61"/>
    </row>
    <row r="10" spans="1:5">
      <c r="A10" t="s">
        <v>367</v>
      </c>
      <c r="B10" s="3">
        <v>0.02</v>
      </c>
      <c r="C10" s="47">
        <f>B10*C4</f>
        <v>2</v>
      </c>
      <c r="D10" s="47">
        <f>C10*(1-tax)</f>
        <v>1.3199999999999998</v>
      </c>
    </row>
    <row r="11" spans="1:5">
      <c r="A11" t="s">
        <v>372</v>
      </c>
      <c r="B11" s="3">
        <f>Modelo!C23</f>
        <v>0.34</v>
      </c>
      <c r="C11" s="3">
        <f>Modelo!D23</f>
        <v>0.33</v>
      </c>
      <c r="D11" s="3">
        <f>Modelo!E23</f>
        <v>0.33</v>
      </c>
    </row>
    <row r="12" spans="1:5">
      <c r="A12" t="s">
        <v>368</v>
      </c>
      <c r="C12" s="46">
        <f>C5-C9+C10</f>
        <v>4.7</v>
      </c>
      <c r="D12" s="46">
        <f>D5-D9+D10</f>
        <v>3.1019999999999994</v>
      </c>
    </row>
    <row r="13" spans="1:5">
      <c r="A13" t="s">
        <v>369</v>
      </c>
      <c r="C13" s="46">
        <f>C4-C7-C12</f>
        <v>65.3</v>
      </c>
      <c r="D13" s="46">
        <f>D4-D7-D12</f>
        <v>66.897999999999996</v>
      </c>
    </row>
    <row r="14" spans="1:5">
      <c r="C14" s="54"/>
      <c r="E14" s="73" t="s">
        <v>380</v>
      </c>
    </row>
    <row r="15" spans="1:5">
      <c r="A15" t="s">
        <v>370</v>
      </c>
      <c r="C15" s="54">
        <f>(1+C12/C13)^(360/días)-1</f>
        <v>0.32050313000182107</v>
      </c>
      <c r="D15" s="63">
        <f>(1+D12/D13)^(360/días)-1</f>
        <v>0.19878037155220096</v>
      </c>
      <c r="E15" s="74">
        <f>H40</f>
        <v>0.14485985384064626</v>
      </c>
    </row>
    <row r="17" spans="1:8">
      <c r="A17" s="62">
        <f>H40</f>
        <v>0.14485985384064626</v>
      </c>
      <c r="B17" s="3">
        <v>0</v>
      </c>
      <c r="C17" s="3">
        <v>0.1</v>
      </c>
      <c r="D17" s="3">
        <v>0.2</v>
      </c>
      <c r="E17" s="67">
        <v>0.3</v>
      </c>
      <c r="F17" s="3">
        <v>0.4</v>
      </c>
      <c r="G17" s="3">
        <v>0.5</v>
      </c>
    </row>
    <row r="18" spans="1:8">
      <c r="A18" s="54">
        <v>0.08</v>
      </c>
      <c r="B18" s="54">
        <f t="dataTable" ref="B18:G30" dt2D="1" dtr="0" r1="B7" r2="B5"/>
        <v>7.7900403718588418E-2</v>
      </c>
      <c r="C18" s="54">
        <v>8.3803088587628638E-2</v>
      </c>
      <c r="D18" s="54">
        <v>9.12485717594409E-2</v>
      </c>
      <c r="E18" s="65">
        <v>0.10093244304962457</v>
      </c>
      <c r="F18" s="54">
        <v>0.11404220779056429</v>
      </c>
      <c r="G18" s="54">
        <v>0.13278522933417469</v>
      </c>
    </row>
    <row r="19" spans="1:8">
      <c r="A19" s="54">
        <v>8.5000000000000006E-2</v>
      </c>
      <c r="B19" s="54">
        <v>8.1552133435984997E-2</v>
      </c>
      <c r="C19" s="54">
        <v>8.7891829999354965E-2</v>
      </c>
      <c r="D19" s="54">
        <v>9.5892887131451277E-2</v>
      </c>
      <c r="E19" s="65">
        <v>0.10630657206124394</v>
      </c>
      <c r="F19" s="54">
        <v>0.12041726504600225</v>
      </c>
      <c r="G19" s="54">
        <v>0.14061695365849913</v>
      </c>
    </row>
    <row r="20" spans="1:8">
      <c r="A20" s="54">
        <v>0.09</v>
      </c>
      <c r="B20" s="54">
        <v>8.521935686757165E-2</v>
      </c>
      <c r="C20" s="54">
        <v>9.1999893711033121E-2</v>
      </c>
      <c r="D20" s="54">
        <v>0.10056196909197568</v>
      </c>
      <c r="E20" s="65">
        <v>0.11171358265531617</v>
      </c>
      <c r="F20" s="54">
        <v>0.12683806953510945</v>
      </c>
      <c r="G20" s="54">
        <v>0.14851662170059443</v>
      </c>
    </row>
    <row r="21" spans="1:8">
      <c r="A21" s="54">
        <v>9.5000000000000001E-2</v>
      </c>
      <c r="B21" s="54">
        <v>8.8902153014753571E-2</v>
      </c>
      <c r="C21" s="54">
        <v>9.6127389477202785E-2</v>
      </c>
      <c r="D21" s="54">
        <v>0.10525597642094242</v>
      </c>
      <c r="E21" s="65">
        <v>0.11715371670781138</v>
      </c>
      <c r="F21" s="54">
        <v>0.13330501617247914</v>
      </c>
      <c r="G21" s="54">
        <v>0.15648494290655024</v>
      </c>
    </row>
    <row r="22" spans="1:8">
      <c r="A22" s="54">
        <v>0.1</v>
      </c>
      <c r="B22" s="54">
        <v>9.2600601349465128E-2</v>
      </c>
      <c r="C22" s="54">
        <v>0.10027442778071638</v>
      </c>
      <c r="D22" s="54">
        <v>0.1099750690876824</v>
      </c>
      <c r="E22" s="65">
        <v>0.12262721826731515</v>
      </c>
      <c r="F22" s="54">
        <v>0.1398185038581532</v>
      </c>
      <c r="G22" s="54">
        <v>0.16452263538613399</v>
      </c>
    </row>
    <row r="23" spans="1:8">
      <c r="A23" s="54">
        <v>0.105</v>
      </c>
      <c r="B23" s="54">
        <v>9.631478181737374E-2</v>
      </c>
      <c r="C23" s="54">
        <v>0.10444111983826088</v>
      </c>
      <c r="D23" s="54">
        <v>0.11471940828422023</v>
      </c>
      <c r="E23" s="65">
        <v>0.12813433344959635</v>
      </c>
      <c r="F23" s="54">
        <v>0.14637893552366088</v>
      </c>
      <c r="G23" s="54">
        <v>0.17263042603395395</v>
      </c>
    </row>
    <row r="24" spans="1:8">
      <c r="A24" s="54">
        <v>0.11</v>
      </c>
      <c r="B24" s="54">
        <v>0.10004477484110708</v>
      </c>
      <c r="C24" s="54">
        <v>0.10862757760593955</v>
      </c>
      <c r="D24" s="54">
        <v>0.11948915633870394</v>
      </c>
      <c r="E24" s="65">
        <v>0.13367531049202785</v>
      </c>
      <c r="F24" s="54">
        <v>0.15298671817864506</v>
      </c>
      <c r="G24" s="54">
        <v>0.18080905065252351</v>
      </c>
    </row>
    <row r="25" spans="1:8">
      <c r="A25" s="54">
        <v>0.11749999999999999</v>
      </c>
      <c r="B25" s="54">
        <v>0.10566959002598186</v>
      </c>
      <c r="C25" s="54">
        <v>0.11494457172564099</v>
      </c>
      <c r="D25" s="54">
        <v>0.12669177829158351</v>
      </c>
      <c r="E25" s="65">
        <v>0.14205081534054775</v>
      </c>
      <c r="F25" s="69">
        <v>0.16298807576402985</v>
      </c>
      <c r="G25" s="54">
        <v>0.19321143310420497</v>
      </c>
    </row>
    <row r="26" spans="1:8">
      <c r="A26" s="66">
        <v>0.12</v>
      </c>
      <c r="B26" s="64">
        <v>0.10755252265095128</v>
      </c>
      <c r="C26" s="64">
        <v>0.11706024184772734</v>
      </c>
      <c r="D26" s="64">
        <v>0.12910553473377973</v>
      </c>
      <c r="E26" s="66">
        <v>0.14485985384064626</v>
      </c>
      <c r="F26" s="54">
        <v>0.16634598517032795</v>
      </c>
      <c r="G26" s="54">
        <v>0.19738179030357994</v>
      </c>
    </row>
    <row r="27" spans="1:8">
      <c r="A27" s="54">
        <v>0.1225</v>
      </c>
      <c r="B27" s="54">
        <v>0.10943946944780758</v>
      </c>
      <c r="C27" s="54">
        <v>0.11918093847593747</v>
      </c>
      <c r="D27" s="68">
        <v>0.13152576700299767</v>
      </c>
      <c r="E27" s="54">
        <v>0.14767754718434545</v>
      </c>
      <c r="F27" s="54">
        <v>0.16971604375056937</v>
      </c>
      <c r="G27" s="54">
        <v>0.20157042137722692</v>
      </c>
    </row>
    <row r="28" spans="1:8">
      <c r="A28" s="54">
        <v>0.13</v>
      </c>
      <c r="B28" s="54">
        <v>0.11512449784623535</v>
      </c>
      <c r="C28" s="54">
        <v>0.12557333111004398</v>
      </c>
      <c r="D28" s="54">
        <v>0.1388255279263475</v>
      </c>
      <c r="E28" s="54">
        <v>0.15618287744526382</v>
      </c>
      <c r="F28" s="54">
        <v>0.17989964428363869</v>
      </c>
      <c r="G28" s="54">
        <v>0.21424692371792853</v>
      </c>
    </row>
    <row r="29" spans="1:8">
      <c r="A29" s="54">
        <v>0.13500000000000001</v>
      </c>
      <c r="B29" s="54">
        <v>0.11893477690800558</v>
      </c>
      <c r="C29" s="54">
        <v>0.1298603230434392</v>
      </c>
      <c r="D29" s="54">
        <v>0.14372479917315406</v>
      </c>
      <c r="E29" s="54">
        <v>0.1618969630831355</v>
      </c>
      <c r="F29" s="54">
        <v>0.18675043310698891</v>
      </c>
      <c r="G29" s="54">
        <v>0.22279107586766478</v>
      </c>
    </row>
    <row r="30" spans="1:8">
      <c r="A30" s="54">
        <v>0.14000000000000001</v>
      </c>
      <c r="B30" s="54">
        <v>0.12276136126223292</v>
      </c>
      <c r="C30" s="54">
        <v>0.13416776827014476</v>
      </c>
      <c r="D30" s="54">
        <v>0.14865047957562783</v>
      </c>
      <c r="E30" s="54">
        <v>0.16764644574742515</v>
      </c>
      <c r="F30" s="54">
        <v>0.19365110330776503</v>
      </c>
      <c r="G30" s="54">
        <v>0.23141067101072887</v>
      </c>
    </row>
    <row r="32" spans="1:8">
      <c r="A32" s="70" t="s">
        <v>373</v>
      </c>
      <c r="B32" t="s">
        <v>375</v>
      </c>
      <c r="C32" t="s">
        <v>376</v>
      </c>
      <c r="D32" t="s">
        <v>271</v>
      </c>
      <c r="E32" t="s">
        <v>364</v>
      </c>
      <c r="F32" t="s">
        <v>377</v>
      </c>
      <c r="G32" t="s">
        <v>378</v>
      </c>
      <c r="H32" t="s">
        <v>379</v>
      </c>
    </row>
    <row r="33" spans="1:13">
      <c r="A33" s="70" t="s">
        <v>374</v>
      </c>
    </row>
    <row r="34" spans="1:13">
      <c r="A34">
        <v>0</v>
      </c>
      <c r="B34" s="71">
        <f>B4</f>
        <v>100</v>
      </c>
      <c r="D34" s="47">
        <f>$B$5/4*B34*(1-tax)</f>
        <v>1.9799999999999998</v>
      </c>
      <c r="E34" s="71">
        <f>$B$7*B34</f>
        <v>30</v>
      </c>
      <c r="F34" s="72">
        <f>$B$9/4*E34*$B$8*(1-tax)</f>
        <v>0.19799999999999998</v>
      </c>
      <c r="G34" s="47">
        <f>B10*B34*(1-tax)</f>
        <v>1.3199999999999998</v>
      </c>
      <c r="H34" s="71">
        <f>B34-D34-E34+F34-G34</f>
        <v>66.897999999999996</v>
      </c>
    </row>
    <row r="35" spans="1:13">
      <c r="A35">
        <v>1</v>
      </c>
      <c r="B35" s="71">
        <f>B34-C35</f>
        <v>75</v>
      </c>
      <c r="C35" s="47">
        <v>25</v>
      </c>
      <c r="D35" s="47">
        <f>$B$5/4*B35*(1-tax)</f>
        <v>1.4849999999999999</v>
      </c>
      <c r="E35" s="71">
        <f>$B$7*B35</f>
        <v>22.5</v>
      </c>
      <c r="F35" s="72">
        <f>$B$9/4*E35*$B$8*(1-tax)</f>
        <v>0.14849999999999999</v>
      </c>
      <c r="H35" s="71">
        <f>-(C35+D35-F35-(E34-E35))</f>
        <v>-18.836500000000001</v>
      </c>
    </row>
    <row r="36" spans="1:13">
      <c r="A36">
        <v>2</v>
      </c>
      <c r="B36" s="71">
        <f>B35-C36</f>
        <v>50</v>
      </c>
      <c r="C36" s="47">
        <v>25</v>
      </c>
      <c r="D36" s="47">
        <f>$B$5/4*B36*(1-tax)</f>
        <v>0.98999999999999988</v>
      </c>
      <c r="E36" s="71">
        <f>$B$7*B36</f>
        <v>15</v>
      </c>
      <c r="F36" s="72">
        <f>$B$9/4*E36*$B$8*(1-tax)</f>
        <v>9.8999999999999991E-2</v>
      </c>
      <c r="H36" s="71">
        <f>-(C36+D36-F36-(E35-E36))</f>
        <v>-18.390999999999998</v>
      </c>
    </row>
    <row r="37" spans="1:13">
      <c r="A37">
        <v>3</v>
      </c>
      <c r="B37" s="71">
        <f>B36-C37</f>
        <v>25</v>
      </c>
      <c r="C37" s="47">
        <v>25</v>
      </c>
      <c r="D37" s="47">
        <f>$B$5/4*B37*(1-tax)</f>
        <v>0.49499999999999994</v>
      </c>
      <c r="E37" s="71">
        <f>$B$7*B37</f>
        <v>7.5</v>
      </c>
      <c r="F37" s="72">
        <f>$B$9/4*E37*$B$8*(1-tax)</f>
        <v>4.9499999999999995E-2</v>
      </c>
      <c r="H37" s="71">
        <f>-(C37+D37-F37-(E36-E37))</f>
        <v>-17.945500000000003</v>
      </c>
    </row>
    <row r="38" spans="1:13">
      <c r="A38">
        <v>4</v>
      </c>
      <c r="B38" s="71">
        <f>B37-C38</f>
        <v>0</v>
      </c>
      <c r="C38" s="47">
        <v>25</v>
      </c>
      <c r="D38" s="47">
        <f>$B$5/4*B38*(1-tax)</f>
        <v>0</v>
      </c>
      <c r="E38" s="71">
        <f>$B$7*B38</f>
        <v>0</v>
      </c>
      <c r="F38" s="72">
        <f>$B$9/4*E38*$B$8*(1-tax)</f>
        <v>0</v>
      </c>
      <c r="H38" s="71">
        <f>-(C38+D38-F38-(E37-E38))</f>
        <v>-17.5</v>
      </c>
    </row>
    <row r="40" spans="1:13">
      <c r="A40" t="s">
        <v>382</v>
      </c>
      <c r="G40" t="s">
        <v>380</v>
      </c>
      <c r="H40" s="54">
        <f>(1+IRR(H34:H38))^4-1</f>
        <v>0.14485985384064626</v>
      </c>
    </row>
    <row r="41" spans="1:13">
      <c r="B41">
        <v>0</v>
      </c>
      <c r="C41" s="75">
        <v>1</v>
      </c>
      <c r="D41" s="75">
        <v>2</v>
      </c>
      <c r="E41" s="75">
        <v>3</v>
      </c>
      <c r="F41" s="75">
        <v>4</v>
      </c>
      <c r="G41" s="75">
        <v>5</v>
      </c>
      <c r="H41" s="75">
        <v>6</v>
      </c>
      <c r="I41" s="75">
        <v>7</v>
      </c>
      <c r="J41" s="75">
        <v>8</v>
      </c>
      <c r="K41" s="75">
        <v>9</v>
      </c>
      <c r="L41" s="75">
        <v>10</v>
      </c>
      <c r="M41" s="75"/>
    </row>
    <row r="42" spans="1:13">
      <c r="A42" t="s">
        <v>383</v>
      </c>
      <c r="B42" s="2">
        <f>Modelo!C17</f>
        <v>223027.77777777772</v>
      </c>
    </row>
    <row r="43" spans="1:13">
      <c r="A43" t="s">
        <v>376</v>
      </c>
      <c r="C43" s="2">
        <f>-Modelo!D74</f>
        <v>-22302.777777777774</v>
      </c>
      <c r="D43" s="2">
        <f>-Modelo!E74</f>
        <v>-22302.777777777774</v>
      </c>
      <c r="E43" s="2">
        <f>-Modelo!F74</f>
        <v>-22302.777777777774</v>
      </c>
      <c r="F43" s="2">
        <f>-Modelo!G74</f>
        <v>-22302.777777777774</v>
      </c>
      <c r="G43" s="2">
        <f>-Modelo!H74</f>
        <v>-22302.777777777774</v>
      </c>
      <c r="H43" s="2">
        <f>-Modelo!I74</f>
        <v>-22302.777777777774</v>
      </c>
      <c r="I43" s="2">
        <f>-Modelo!J74</f>
        <v>-22302.777777777774</v>
      </c>
      <c r="J43" s="2">
        <f>-Modelo!K74</f>
        <v>-22302.777777777774</v>
      </c>
      <c r="K43" s="2">
        <f>-Modelo!L74</f>
        <v>-22302.777777777774</v>
      </c>
      <c r="L43" s="2">
        <f>-Modelo!M74</f>
        <v>-22302.777777777774</v>
      </c>
      <c r="M43" s="2"/>
    </row>
    <row r="44" spans="1:13">
      <c r="A44" t="s">
        <v>384</v>
      </c>
      <c r="B44" s="2">
        <f>-Modelo!C52*(1-tax)</f>
        <v>-20607.766666666659</v>
      </c>
      <c r="C44" s="2">
        <f>-Modelo!D52*(1-C11)</f>
        <v>-16138.289999999994</v>
      </c>
      <c r="D44" s="2">
        <f>-Modelo!E52*(1-$D$11)</f>
        <v>-14345.146666666658</v>
      </c>
      <c r="E44" s="2">
        <f>-Modelo!F52*(1-$D$11)</f>
        <v>-12552.003333333327</v>
      </c>
      <c r="F44" s="2">
        <f>-Modelo!G52*(1-$D$11)</f>
        <v>-10758.859999999993</v>
      </c>
      <c r="G44" s="2">
        <f>-Modelo!H52*(1-$D$11)</f>
        <v>-8965.7166666666599</v>
      </c>
      <c r="H44" s="2">
        <f>-Modelo!I52*(1-$D$11)</f>
        <v>-7172.5733333333264</v>
      </c>
      <c r="I44" s="2">
        <f>-Modelo!J52*(1-$D$11)</f>
        <v>-5379.429999999993</v>
      </c>
      <c r="J44" s="2">
        <f>-Modelo!K52*(1-$D$11)</f>
        <v>-3586.2866666666605</v>
      </c>
      <c r="K44" s="2">
        <f>-Modelo!L52*(1-$D$11)</f>
        <v>-1793.1433333333275</v>
      </c>
      <c r="L44" s="2">
        <f>-Modelo!M52*(1-$D$11)</f>
        <v>0</v>
      </c>
      <c r="M44" s="2"/>
    </row>
    <row r="45" spans="1:13">
      <c r="A45" t="s">
        <v>385</v>
      </c>
      <c r="B45" s="44">
        <f>SUM(B42:B44)</f>
        <v>202420.01111111106</v>
      </c>
      <c r="C45" s="44">
        <f>SUM(C42:C44)</f>
        <v>-38441.067777777767</v>
      </c>
      <c r="D45" s="44">
        <f t="shared" ref="D45:L45" si="0">SUM(D42:D44)</f>
        <v>-36647.924444444434</v>
      </c>
      <c r="E45" s="44">
        <f t="shared" si="0"/>
        <v>-34854.7811111111</v>
      </c>
      <c r="F45" s="44">
        <f t="shared" si="0"/>
        <v>-33061.637777777767</v>
      </c>
      <c r="G45" s="44">
        <f t="shared" si="0"/>
        <v>-31268.494444444434</v>
      </c>
      <c r="H45" s="44">
        <f t="shared" si="0"/>
        <v>-29475.3511111111</v>
      </c>
      <c r="I45" s="44">
        <f t="shared" si="0"/>
        <v>-27682.207777777767</v>
      </c>
      <c r="J45" s="44">
        <f t="shared" si="0"/>
        <v>-25889.064444444433</v>
      </c>
      <c r="K45" s="44">
        <f t="shared" si="0"/>
        <v>-24095.9211111111</v>
      </c>
      <c r="L45" s="44">
        <f t="shared" si="0"/>
        <v>-22302.777777777774</v>
      </c>
      <c r="M45" s="44"/>
    </row>
    <row r="47" spans="1:13">
      <c r="A47" t="s">
        <v>380</v>
      </c>
      <c r="B47" s="54">
        <f>IRR(B45:L45)</f>
        <v>9.0715251630099553E-2</v>
      </c>
    </row>
  </sheetData>
  <phoneticPr fontId="2" type="noConversion"/>
  <pageMargins left="0.75" right="0.75" top="1" bottom="1" header="0" footer="0"/>
  <headerFooter alignWithMargins="0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Hoja3" enableFormatConditionsCalculation="0">
    <tabColor indexed="49"/>
  </sheetPr>
  <dimension ref="A1:G11"/>
  <sheetViews>
    <sheetView zoomScale="130" workbookViewId="0"/>
  </sheetViews>
  <sheetFormatPr baseColWidth="10" defaultRowHeight="12.75"/>
  <cols>
    <col min="1" max="1" width="14.42578125" customWidth="1"/>
    <col min="3" max="3" width="17" customWidth="1"/>
    <col min="4" max="4" width="12.7109375" bestFit="1" customWidth="1"/>
  </cols>
  <sheetData>
    <row r="1" spans="1:7">
      <c r="A1" t="s">
        <v>388</v>
      </c>
    </row>
    <row r="3" spans="1:7">
      <c r="A3" t="s">
        <v>389</v>
      </c>
      <c r="C3" s="62">
        <v>0.05</v>
      </c>
    </row>
    <row r="4" spans="1:7">
      <c r="A4" t="s">
        <v>390</v>
      </c>
      <c r="C4" s="59">
        <f>Modelo!B28</f>
        <v>30</v>
      </c>
    </row>
    <row r="5" spans="1:7">
      <c r="A5" t="s">
        <v>391</v>
      </c>
      <c r="C5" s="59">
        <f>Modelo!B20</f>
        <v>75</v>
      </c>
      <c r="F5" s="77">
        <f>C5-C4</f>
        <v>45</v>
      </c>
    </row>
    <row r="6" spans="1:7">
      <c r="A6" t="s">
        <v>392</v>
      </c>
      <c r="C6" s="76">
        <f>Modelo!B8</f>
        <v>6</v>
      </c>
    </row>
    <row r="7" spans="1:7">
      <c r="E7" s="58">
        <f>G7*(1-C3)</f>
        <v>0.95</v>
      </c>
      <c r="G7" s="58">
        <v>1</v>
      </c>
    </row>
    <row r="9" spans="1:7">
      <c r="A9" t="s">
        <v>393</v>
      </c>
      <c r="C9" s="54">
        <f>(1/(1-C3*(1-tax)))^MIN(C6,360/(C5-C4))-1</f>
        <v>0.22304139248483934</v>
      </c>
      <c r="D9" s="78" t="str">
        <f>FORMULATEXT(C9)</f>
        <v>=(1/(1-C3*(1-tax)))^MIN(C6,360/(C5-C4))-1</v>
      </c>
    </row>
    <row r="10" spans="1:7">
      <c r="A10" t="s">
        <v>394</v>
      </c>
      <c r="C10" s="62">
        <f>'Cto Crédito'!E15</f>
        <v>0.14485985384064626</v>
      </c>
      <c r="D10" s="78" t="str">
        <f>FORMULATEXT(C10)</f>
        <v>='Cto Crédito'!E15</v>
      </c>
    </row>
    <row r="11" spans="1:7">
      <c r="A11" t="s">
        <v>395</v>
      </c>
      <c r="C11" t="str">
        <f>IF(C9&gt;C10,"Pagar de contado","Mantenga el DPP con el proveedor")</f>
        <v>Pagar de contado</v>
      </c>
      <c r="D11" s="78" t="str">
        <f>FORMULATEXT(C11)</f>
        <v>=SI(C9&gt;C10,"Pagar de contado","Mantenga el DPP con el proveedor")</v>
      </c>
    </row>
  </sheetData>
  <phoneticPr fontId="2" type="noConversion"/>
  <pageMargins left="0.75" right="0.75" top="1" bottom="1" header="0" footer="0"/>
  <headerFooter alignWithMargins="0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Hoja5" enableFormatConditionsCalculation="0">
    <tabColor indexed="49"/>
    <outlinePr summaryBelow="0"/>
  </sheetPr>
  <dimension ref="A1:P80"/>
  <sheetViews>
    <sheetView zoomScale="145" workbookViewId="0"/>
  </sheetViews>
  <sheetFormatPr baseColWidth="10" defaultRowHeight="12.75" outlineLevelRow="1"/>
  <cols>
    <col min="1" max="1" width="13.42578125" customWidth="1"/>
    <col min="2" max="2" width="18.140625" customWidth="1"/>
    <col min="3" max="3" width="15.5703125" bestFit="1" customWidth="1"/>
    <col min="5" max="5" width="15.5703125" customWidth="1"/>
  </cols>
  <sheetData>
    <row r="1" spans="1:16">
      <c r="A1" s="121" t="s">
        <v>809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>
        <v>8</v>
      </c>
      <c r="L1">
        <v>9</v>
      </c>
      <c r="M1">
        <v>10</v>
      </c>
    </row>
    <row r="2" spans="1:16">
      <c r="A2">
        <v>1</v>
      </c>
      <c r="B2" t="s">
        <v>397</v>
      </c>
      <c r="D2" s="79">
        <v>0.25</v>
      </c>
      <c r="E2" s="79">
        <v>0.25</v>
      </c>
      <c r="F2" s="79">
        <v>0.25</v>
      </c>
      <c r="G2" s="79">
        <v>0.25</v>
      </c>
      <c r="H2" s="79">
        <v>0.25</v>
      </c>
      <c r="I2" s="79">
        <v>0.25</v>
      </c>
      <c r="J2" s="79">
        <v>0.25</v>
      </c>
      <c r="K2" s="79">
        <v>0.25</v>
      </c>
      <c r="L2" s="79">
        <v>0.25</v>
      </c>
      <c r="M2" s="79">
        <v>0.25</v>
      </c>
      <c r="N2" s="79"/>
      <c r="O2" s="79"/>
      <c r="P2" s="79"/>
    </row>
    <row r="3" spans="1:16">
      <c r="A3">
        <v>2</v>
      </c>
      <c r="B3" t="s">
        <v>398</v>
      </c>
      <c r="D3" s="79">
        <f t="shared" ref="D3:M3" si="0">$D$10</f>
        <v>0.29549988035689673</v>
      </c>
      <c r="E3" s="79">
        <f t="shared" si="0"/>
        <v>0.29549988035689673</v>
      </c>
      <c r="F3" s="79">
        <f t="shared" si="0"/>
        <v>0.29549988035689673</v>
      </c>
      <c r="G3" s="79">
        <f t="shared" si="0"/>
        <v>0.29549988035689673</v>
      </c>
      <c r="H3" s="79">
        <f t="shared" si="0"/>
        <v>0.29549988035689673</v>
      </c>
      <c r="I3" s="79">
        <f t="shared" si="0"/>
        <v>0.29549988035689673</v>
      </c>
      <c r="J3" s="79">
        <f t="shared" si="0"/>
        <v>0.29549988035689673</v>
      </c>
      <c r="K3" s="79">
        <f t="shared" si="0"/>
        <v>0.29549988035689673</v>
      </c>
      <c r="L3" s="79">
        <f t="shared" si="0"/>
        <v>0.29549988035689673</v>
      </c>
      <c r="M3" s="79">
        <f t="shared" si="0"/>
        <v>0.29549988035689673</v>
      </c>
      <c r="N3" s="79"/>
      <c r="O3" s="79"/>
      <c r="P3" s="79"/>
    </row>
    <row r="4" spans="1:16">
      <c r="A4">
        <v>3</v>
      </c>
      <c r="B4" t="s">
        <v>399</v>
      </c>
      <c r="D4" s="79">
        <f t="shared" ref="D4:M4" si="1">$D$39</f>
        <v>0.4303925059604351</v>
      </c>
      <c r="E4" s="79">
        <f t="shared" si="1"/>
        <v>0.4303925059604351</v>
      </c>
      <c r="F4" s="79">
        <f t="shared" si="1"/>
        <v>0.4303925059604351</v>
      </c>
      <c r="G4" s="79">
        <f t="shared" si="1"/>
        <v>0.4303925059604351</v>
      </c>
      <c r="H4" s="79">
        <f t="shared" si="1"/>
        <v>0.4303925059604351</v>
      </c>
      <c r="I4" s="79">
        <f t="shared" si="1"/>
        <v>0.4303925059604351</v>
      </c>
      <c r="J4" s="79">
        <f t="shared" si="1"/>
        <v>0.4303925059604351</v>
      </c>
      <c r="K4" s="79">
        <f t="shared" si="1"/>
        <v>0.4303925059604351</v>
      </c>
      <c r="L4" s="79">
        <f t="shared" si="1"/>
        <v>0.4303925059604351</v>
      </c>
      <c r="M4" s="79">
        <f t="shared" si="1"/>
        <v>0.4303925059604351</v>
      </c>
      <c r="N4" s="79"/>
      <c r="O4" s="79"/>
      <c r="P4" s="79"/>
    </row>
    <row r="5" spans="1:16">
      <c r="A5">
        <v>4</v>
      </c>
      <c r="B5" t="s">
        <v>401</v>
      </c>
      <c r="D5" s="79">
        <f t="shared" ref="D5:M5" si="2">D57</f>
        <v>0.4414565486899924</v>
      </c>
      <c r="E5" s="79">
        <f t="shared" si="2"/>
        <v>0.4411311356685349</v>
      </c>
      <c r="F5" s="79">
        <f t="shared" si="2"/>
        <v>0.4411311356685349</v>
      </c>
      <c r="G5" s="79">
        <f t="shared" si="2"/>
        <v>0.4411311356685349</v>
      </c>
      <c r="H5" s="79">
        <f t="shared" si="2"/>
        <v>0.4411311356685349</v>
      </c>
      <c r="I5" s="79">
        <f t="shared" si="2"/>
        <v>0.4411311356685349</v>
      </c>
      <c r="J5" s="79">
        <f t="shared" si="2"/>
        <v>0.4411311356685349</v>
      </c>
      <c r="K5" s="79">
        <f t="shared" si="2"/>
        <v>0.4411311356685349</v>
      </c>
      <c r="L5" s="79">
        <f t="shared" si="2"/>
        <v>0.4411311356685349</v>
      </c>
      <c r="M5" s="79">
        <f t="shared" si="2"/>
        <v>0.4411311356685349</v>
      </c>
    </row>
    <row r="6" spans="1:16" ht="19.5">
      <c r="A6">
        <v>5</v>
      </c>
      <c r="B6" t="s">
        <v>400</v>
      </c>
      <c r="D6" s="79">
        <f>D46</f>
        <v>0.60287632413893411</v>
      </c>
      <c r="E6" s="79">
        <f t="shared" ref="E6:M6" si="3">E46</f>
        <v>0.52258877673702053</v>
      </c>
      <c r="F6" s="79">
        <f t="shared" si="3"/>
        <v>0.48479411788126969</v>
      </c>
      <c r="G6" s="79">
        <f t="shared" si="3"/>
        <v>0.46510480916612029</v>
      </c>
      <c r="H6" s="79">
        <f t="shared" si="3"/>
        <v>0.45312377921474833</v>
      </c>
      <c r="I6" s="79">
        <f t="shared" si="3"/>
        <v>0.44532614844678664</v>
      </c>
      <c r="J6" s="79">
        <f t="shared" si="3"/>
        <v>0.44002612575277356</v>
      </c>
      <c r="K6" s="79">
        <f t="shared" si="3"/>
        <v>0.43631865422290705</v>
      </c>
      <c r="L6" s="79">
        <f t="shared" si="3"/>
        <v>0.43367616372852413</v>
      </c>
      <c r="M6" s="79">
        <f t="shared" si="3"/>
        <v>0.43177163548927899</v>
      </c>
      <c r="N6" s="79"/>
      <c r="O6" s="79"/>
      <c r="P6" s="79"/>
    </row>
    <row r="7" spans="1:16" ht="19.5">
      <c r="A7">
        <v>6</v>
      </c>
      <c r="B7" t="s">
        <v>402</v>
      </c>
      <c r="D7" s="79">
        <f>D63</f>
        <v>0.63505238621353977</v>
      </c>
      <c r="E7" s="79">
        <f t="shared" ref="E7:M7" si="4">E63</f>
        <v>0.54428032341337873</v>
      </c>
      <c r="F7" s="79">
        <f t="shared" si="4"/>
        <v>0.50199565908556454</v>
      </c>
      <c r="G7" s="79">
        <f t="shared" si="4"/>
        <v>0.47996726049505545</v>
      </c>
      <c r="H7" s="79">
        <f t="shared" si="4"/>
        <v>0.46656288418546044</v>
      </c>
      <c r="I7" s="79">
        <f t="shared" si="4"/>
        <v>0.45783889488226504</v>
      </c>
      <c r="J7" s="79">
        <f t="shared" si="4"/>
        <v>0.45190922949220313</v>
      </c>
      <c r="K7" s="79">
        <f t="shared" si="4"/>
        <v>0.44776131034458844</v>
      </c>
      <c r="L7" s="79">
        <f t="shared" si="4"/>
        <v>0.44480489197947293</v>
      </c>
      <c r="M7" s="79">
        <f t="shared" si="4"/>
        <v>0.44267410578540534</v>
      </c>
    </row>
    <row r="8" spans="1:16">
      <c r="A8">
        <v>7</v>
      </c>
      <c r="B8" t="s">
        <v>403</v>
      </c>
      <c r="D8" s="47">
        <f>NODERFELASE!H17</f>
        <v>1.57</v>
      </c>
    </row>
    <row r="10" spans="1:16" ht="19.5" collapsed="1">
      <c r="A10" t="s">
        <v>427</v>
      </c>
      <c r="D10" s="79">
        <f>B12*(1+B13)/B14+C15</f>
        <v>0.29549988035689673</v>
      </c>
      <c r="E10" t="str">
        <f>FORMULATEXT(D10)</f>
        <v>=B12*(1+B13)/B14+C15</v>
      </c>
    </row>
    <row r="11" spans="1:16" hidden="1" outlineLevel="1"/>
    <row r="12" spans="1:16" ht="15.75" hidden="1" outlineLevel="1">
      <c r="A12" t="s">
        <v>413</v>
      </c>
      <c r="B12" s="71">
        <f>C18</f>
        <v>120</v>
      </c>
    </row>
    <row r="13" spans="1:16" ht="15.75" hidden="1" outlineLevel="1">
      <c r="A13" s="33" t="s">
        <v>404</v>
      </c>
      <c r="B13" s="3">
        <v>0.05</v>
      </c>
    </row>
    <row r="14" spans="1:16" hidden="1" outlineLevel="1">
      <c r="A14" t="s">
        <v>405</v>
      </c>
      <c r="B14" s="58">
        <v>2500</v>
      </c>
    </row>
    <row r="15" spans="1:16" hidden="1" outlineLevel="1">
      <c r="A15" t="s">
        <v>406</v>
      </c>
      <c r="C15" s="54">
        <f>VLOOKUP(G15,D25:F26,3)</f>
        <v>0.24509988035689673</v>
      </c>
      <c r="D15" t="str">
        <f>FORMULATEXT(C15)</f>
        <v>=BUSCARV(G15;D25:F26;3)</v>
      </c>
      <c r="G15">
        <v>2</v>
      </c>
    </row>
    <row r="16" spans="1:16" hidden="1" outlineLevel="1">
      <c r="A16" t="s">
        <v>407</v>
      </c>
    </row>
    <row r="17" spans="1:7" hidden="1" outlineLevel="1">
      <c r="A17" t="s">
        <v>408</v>
      </c>
    </row>
    <row r="18" spans="1:7" hidden="1" outlineLevel="1">
      <c r="A18" t="s">
        <v>410</v>
      </c>
      <c r="C18" s="58">
        <v>120</v>
      </c>
    </row>
    <row r="19" spans="1:7" hidden="1" outlineLevel="1">
      <c r="A19" t="s">
        <v>411</v>
      </c>
      <c r="C19" s="58">
        <v>30</v>
      </c>
    </row>
    <row r="20" spans="1:7" hidden="1" outlineLevel="1">
      <c r="A20" t="s">
        <v>409</v>
      </c>
      <c r="C20" s="80">
        <v>8</v>
      </c>
    </row>
    <row r="21" spans="1:7" hidden="1" outlineLevel="1">
      <c r="A21" t="s">
        <v>412</v>
      </c>
      <c r="D21" s="54">
        <f>RATE(C20,,-C19,C18)</f>
        <v>0.18920711500041143</v>
      </c>
      <c r="E21" t="str">
        <f>FORMULATEXT(D21)</f>
        <v>=TASA(C20;;-C19;C18)</v>
      </c>
    </row>
    <row r="22" spans="1:7" hidden="1" outlineLevel="1">
      <c r="A22" t="s">
        <v>418</v>
      </c>
    </row>
    <row r="23" spans="1:7" hidden="1" outlineLevel="1">
      <c r="A23" t="s">
        <v>419</v>
      </c>
    </row>
    <row r="24" spans="1:7" hidden="1" outlineLevel="1">
      <c r="A24" s="70" t="s">
        <v>409</v>
      </c>
      <c r="B24" s="70" t="s">
        <v>38</v>
      </c>
      <c r="C24" s="70" t="s">
        <v>420</v>
      </c>
    </row>
    <row r="25" spans="1:7" hidden="1" outlineLevel="1">
      <c r="A25">
        <v>1</v>
      </c>
      <c r="B25" s="58">
        <v>30</v>
      </c>
      <c r="C25" s="58">
        <f>TREND($B$25:$B$33,$A$25:$A$33,A25)</f>
        <v>18.955555555555556</v>
      </c>
      <c r="D25">
        <v>1</v>
      </c>
      <c r="E25" t="s">
        <v>422</v>
      </c>
      <c r="F25" s="62">
        <f>D21</f>
        <v>0.18920711500041143</v>
      </c>
      <c r="G25" t="str">
        <f>FORMULATEXT(F25)</f>
        <v>=D21</v>
      </c>
    </row>
    <row r="26" spans="1:7" hidden="1" outlineLevel="1">
      <c r="A26">
        <v>2</v>
      </c>
      <c r="B26" s="58">
        <v>35</v>
      </c>
      <c r="C26" s="58">
        <f t="shared" ref="C26:C33" si="5">TREND($B$25:$B$33,$A$25:$A$33,A26)</f>
        <v>30.272222222222222</v>
      </c>
      <c r="D26">
        <v>2</v>
      </c>
      <c r="E26" t="s">
        <v>423</v>
      </c>
      <c r="F26" s="62">
        <f>C35</f>
        <v>0.24509988035689673</v>
      </c>
      <c r="G26" t="str">
        <f>FORMULATEXT(F26)</f>
        <v>=C35</v>
      </c>
    </row>
    <row r="27" spans="1:7" hidden="1" outlineLevel="1">
      <c r="A27">
        <v>3</v>
      </c>
      <c r="B27" s="58">
        <v>41</v>
      </c>
      <c r="C27" s="58">
        <f t="shared" si="5"/>
        <v>41.588888888888889</v>
      </c>
    </row>
    <row r="28" spans="1:7" hidden="1" outlineLevel="1">
      <c r="A28">
        <v>4</v>
      </c>
      <c r="B28" s="58">
        <v>44</v>
      </c>
      <c r="C28" s="58">
        <f t="shared" si="5"/>
        <v>52.905555555555559</v>
      </c>
    </row>
    <row r="29" spans="1:7" hidden="1" outlineLevel="1">
      <c r="A29">
        <v>5</v>
      </c>
      <c r="B29" s="58">
        <v>53</v>
      </c>
      <c r="C29" s="58">
        <f t="shared" si="5"/>
        <v>64.222222222222229</v>
      </c>
    </row>
    <row r="30" spans="1:7" hidden="1" outlineLevel="1">
      <c r="A30">
        <v>6</v>
      </c>
      <c r="B30" s="58">
        <v>65</v>
      </c>
      <c r="C30" s="58">
        <f t="shared" si="5"/>
        <v>75.538888888888891</v>
      </c>
    </row>
    <row r="31" spans="1:7" hidden="1" outlineLevel="1">
      <c r="A31">
        <v>7</v>
      </c>
      <c r="B31" s="58">
        <v>85</v>
      </c>
      <c r="C31" s="58">
        <f t="shared" si="5"/>
        <v>86.855555555555569</v>
      </c>
    </row>
    <row r="32" spans="1:7" hidden="1" outlineLevel="1">
      <c r="A32">
        <v>8</v>
      </c>
      <c r="B32" s="58">
        <v>105</v>
      </c>
      <c r="C32" s="58">
        <f t="shared" si="5"/>
        <v>98.172222222222231</v>
      </c>
    </row>
    <row r="33" spans="1:13" hidden="1" outlineLevel="1">
      <c r="A33">
        <v>9</v>
      </c>
      <c r="B33" s="58">
        <v>120</v>
      </c>
      <c r="C33" s="58">
        <f t="shared" si="5"/>
        <v>109.48888888888889</v>
      </c>
    </row>
    <row r="34" spans="1:13" hidden="1" outlineLevel="1">
      <c r="C34" s="58"/>
    </row>
    <row r="35" spans="1:13" hidden="1" outlineLevel="1">
      <c r="A35" t="s">
        <v>421</v>
      </c>
      <c r="B35" s="62">
        <f>D21</f>
        <v>0.18920711500041143</v>
      </c>
      <c r="C35" s="62">
        <f>RATE($C$20,,-C25,C33)</f>
        <v>0.24509988035689673</v>
      </c>
      <c r="D35" t="str">
        <f>FORMULATEXT(C35)</f>
        <v>=TASA($C$20;;-C25;C33)</v>
      </c>
    </row>
    <row r="38" spans="1:13">
      <c r="A38" t="s">
        <v>424</v>
      </c>
    </row>
    <row r="39" spans="1:13" ht="18.75" outlineLevel="1">
      <c r="A39" t="s">
        <v>794</v>
      </c>
      <c r="D39" s="54">
        <f>B40+(B41-B40)*B42</f>
        <v>0.4303925059604351</v>
      </c>
    </row>
    <row r="40" spans="1:13" ht="15.75" outlineLevel="1">
      <c r="A40" t="s">
        <v>796</v>
      </c>
      <c r="B40" s="113">
        <v>0.09</v>
      </c>
    </row>
    <row r="41" spans="1:13" ht="15.75" outlineLevel="1">
      <c r="A41" t="s">
        <v>797</v>
      </c>
      <c r="B41" s="113">
        <v>0.34</v>
      </c>
    </row>
    <row r="42" spans="1:13" outlineLevel="1">
      <c r="A42" t="s">
        <v>795</v>
      </c>
      <c r="B42" s="47">
        <f>VLOOKUP(C42,Emergentes!A4:G375,7)</f>
        <v>1.3615700238417405</v>
      </c>
      <c r="C42" s="112">
        <v>117</v>
      </c>
    </row>
    <row r="45" spans="1:13" ht="18.75">
      <c r="A45" t="s">
        <v>798</v>
      </c>
    </row>
    <row r="46" spans="1:13" ht="18.75">
      <c r="A46" t="s">
        <v>802</v>
      </c>
      <c r="D46" s="54">
        <f>$B$47+($B$48-$B$47)*D55</f>
        <v>0.60287632413893411</v>
      </c>
      <c r="E46" s="54">
        <f t="shared" ref="E46:M46" si="6">$B$47+($B$48-$B$47)*E55</f>
        <v>0.52258877673702053</v>
      </c>
      <c r="F46" s="54">
        <f t="shared" si="6"/>
        <v>0.48479411788126969</v>
      </c>
      <c r="G46" s="54">
        <f t="shared" si="6"/>
        <v>0.46510480916612029</v>
      </c>
      <c r="H46" s="54">
        <f t="shared" si="6"/>
        <v>0.45312377921474833</v>
      </c>
      <c r="I46" s="54">
        <f t="shared" si="6"/>
        <v>0.44532614844678664</v>
      </c>
      <c r="J46" s="54">
        <f t="shared" si="6"/>
        <v>0.44002612575277356</v>
      </c>
      <c r="K46" s="54">
        <f t="shared" si="6"/>
        <v>0.43631865422290705</v>
      </c>
      <c r="L46" s="54">
        <f t="shared" si="6"/>
        <v>0.43367616372852413</v>
      </c>
      <c r="M46" s="54">
        <f t="shared" si="6"/>
        <v>0.43177163548927899</v>
      </c>
    </row>
    <row r="47" spans="1:13" ht="15.75">
      <c r="A47" t="s">
        <v>796</v>
      </c>
      <c r="B47" s="3">
        <v>0.09</v>
      </c>
    </row>
    <row r="48" spans="1:13" ht="15.75">
      <c r="A48" t="s">
        <v>797</v>
      </c>
      <c r="B48" s="3">
        <v>0.34</v>
      </c>
    </row>
    <row r="49" spans="1:14">
      <c r="A49" t="s">
        <v>795</v>
      </c>
      <c r="B49" s="47">
        <f>VLOOKUP(C49,Emergentes!$A$4:$G$375,7)</f>
        <v>1.3615700238417405</v>
      </c>
      <c r="C49" s="112">
        <v>117</v>
      </c>
    </row>
    <row r="51" spans="1:14">
      <c r="A51" t="s">
        <v>799</v>
      </c>
      <c r="D51" s="1">
        <v>1</v>
      </c>
      <c r="E51" s="1">
        <v>2</v>
      </c>
      <c r="F51" s="1">
        <v>3</v>
      </c>
      <c r="G51" s="1">
        <v>4</v>
      </c>
      <c r="H51" s="1">
        <v>5</v>
      </c>
      <c r="I51" s="1">
        <v>6</v>
      </c>
      <c r="J51" s="1">
        <v>7</v>
      </c>
      <c r="K51" s="1">
        <v>8</v>
      </c>
      <c r="L51" s="1">
        <v>9</v>
      </c>
      <c r="M51" s="1">
        <v>10</v>
      </c>
      <c r="N51" s="1">
        <v>11</v>
      </c>
    </row>
    <row r="53" spans="1:14">
      <c r="A53" t="s">
        <v>800</v>
      </c>
      <c r="D53" s="2">
        <f>SUM(Modelo!C95,Modelo!C99)</f>
        <v>223027.77777777778</v>
      </c>
      <c r="E53" s="2">
        <f>SUM(Modelo!D95,Modelo!D99)</f>
        <v>200725</v>
      </c>
      <c r="F53" s="2">
        <f>SUM(Modelo!E95,Modelo!E99)</f>
        <v>178422.22222222222</v>
      </c>
      <c r="G53" s="2">
        <f>SUM(Modelo!F95,Modelo!F99)</f>
        <v>156119.44444444444</v>
      </c>
      <c r="H53" s="2">
        <f>SUM(Modelo!G95,Modelo!G99)</f>
        <v>133816.66666666666</v>
      </c>
      <c r="I53" s="2">
        <f>SUM(Modelo!H95,Modelo!H99)</f>
        <v>111513.88888888888</v>
      </c>
      <c r="J53" s="2">
        <f>SUM(Modelo!I95,Modelo!I99)</f>
        <v>89211.111111111095</v>
      </c>
      <c r="K53" s="2">
        <f>SUM(Modelo!J95,Modelo!J99)</f>
        <v>66908.333333333314</v>
      </c>
      <c r="L53" s="2">
        <f>SUM(Modelo!K95,Modelo!K99)</f>
        <v>44605.555555555547</v>
      </c>
      <c r="M53" s="2">
        <f>SUM(Modelo!L95,Modelo!L99)</f>
        <v>22302.777777777774</v>
      </c>
    </row>
    <row r="54" spans="1:14">
      <c r="A54" t="s">
        <v>294</v>
      </c>
      <c r="D54" s="2">
        <f>Modelo!C108</f>
        <v>290492.2333333334</v>
      </c>
      <c r="E54" s="2">
        <f>Modelo!D108</f>
        <v>496527.04033333337</v>
      </c>
      <c r="F54" s="2">
        <f>Modelo!E108</f>
        <v>747983.41596666677</v>
      </c>
      <c r="G54" s="2">
        <f>Modelo!F108</f>
        <v>1025718.9034053334</v>
      </c>
      <c r="H54" s="2">
        <f>Modelo!G108</f>
        <v>1342583.2903217697</v>
      </c>
      <c r="I54" s="2">
        <f>Modelo!H108</f>
        <v>1703013.1612158767</v>
      </c>
      <c r="J54" s="2">
        <f>Modelo!I108</f>
        <v>2111952.9520461434</v>
      </c>
      <c r="K54" s="2">
        <f>Modelo!J108</f>
        <v>2574912.5981408721</v>
      </c>
      <c r="L54" s="2">
        <f>Modelo!K108</f>
        <v>3098031.7067512251</v>
      </c>
      <c r="M54" s="2">
        <f>Modelo!L108</f>
        <v>3688150.9919477422</v>
      </c>
    </row>
    <row r="55" spans="1:14" ht="18.75">
      <c r="A55" t="s">
        <v>801</v>
      </c>
      <c r="D55" s="47">
        <f>(1+D53/D54*(1-Modelo!C23))*$B$49</f>
        <v>2.0515052965557365</v>
      </c>
      <c r="E55" s="47">
        <f>(1+E53/E54*(1-Modelo!D23))*$B$49</f>
        <v>1.7303551069480823</v>
      </c>
      <c r="F55" s="47">
        <f>(1+F53/F54*(1-Modelo!E23))*$B$49</f>
        <v>1.5791764715250787</v>
      </c>
      <c r="G55" s="47">
        <f>(1+G53/G54*(1-Modelo!F23))*$B$49</f>
        <v>1.5004192366644813</v>
      </c>
      <c r="H55" s="47">
        <f>(1+H53/H54*(1-Modelo!G23))*$B$49</f>
        <v>1.4524951168589932</v>
      </c>
      <c r="I55" s="47">
        <f>(1+I53/I54*(1-Modelo!H23))*$B$49</f>
        <v>1.4213045937871467</v>
      </c>
      <c r="J55" s="47">
        <f>(1+J53/J54*(1-Modelo!I23))*$B$49</f>
        <v>1.4001045030110943</v>
      </c>
      <c r="K55" s="47">
        <f>(1+K53/K54*(1-Modelo!J23))*$B$49</f>
        <v>1.3852746168916281</v>
      </c>
      <c r="L55" s="57">
        <f>(1+L53/L54*(1-Modelo!K23))*$B$49</f>
        <v>1.3747046549140967</v>
      </c>
      <c r="M55" s="57">
        <f>(1+M53/M54*(1-Modelo!L23))*$B$49</f>
        <v>1.3670865419571159</v>
      </c>
    </row>
    <row r="57" spans="1:14" collapsed="1">
      <c r="A57" t="s">
        <v>803</v>
      </c>
      <c r="D57" s="54">
        <f>$B$59*(1-Modelo!C23)+($B$60-$B$59*(1-Modelo!C23))*$B$61</f>
        <v>0.4414565486899924</v>
      </c>
      <c r="E57" s="54">
        <f>$B$59*(1-Modelo!D23)+($B$60-$B$59*(1-Modelo!D23))*$B$61</f>
        <v>0.4411311356685349</v>
      </c>
      <c r="F57" s="54">
        <f>$B$59*(1-Modelo!E23)+($B$60-$B$59*(1-Modelo!E23))*$B$61</f>
        <v>0.4411311356685349</v>
      </c>
      <c r="G57" s="54">
        <f>$B$59*(1-Modelo!F23)+($B$60-$B$59*(1-Modelo!F23))*$B$61</f>
        <v>0.4411311356685349</v>
      </c>
      <c r="H57" s="54">
        <f>$B$59*(1-Modelo!G23)+($B$60-$B$59*(1-Modelo!G23))*$B$61</f>
        <v>0.4411311356685349</v>
      </c>
      <c r="I57" s="54">
        <f>$B$59*(1-Modelo!H23)+($B$60-$B$59*(1-Modelo!H23))*$B$61</f>
        <v>0.4411311356685349</v>
      </c>
      <c r="J57" s="54">
        <f>$B$59*(1-Modelo!I23)+($B$60-$B$59*(1-Modelo!I23))*$B$61</f>
        <v>0.4411311356685349</v>
      </c>
      <c r="K57" s="54">
        <f>$B$59*(1-Modelo!J23)+($B$60-$B$59*(1-Modelo!J23))*$B$61</f>
        <v>0.4411311356685349</v>
      </c>
      <c r="L57" s="54">
        <f>$B$59*(1-Modelo!K23)+($B$60-$B$59*(1-Modelo!K23))*$B$61</f>
        <v>0.4411311356685349</v>
      </c>
      <c r="M57" s="54">
        <f>$B$59*(1-Modelo!L23)+($B$60-$B$59*(1-Modelo!L23))*$B$61</f>
        <v>0.4411311356685349</v>
      </c>
    </row>
    <row r="58" spans="1:14" ht="18.75" hidden="1" outlineLevel="1">
      <c r="A58" t="s">
        <v>794</v>
      </c>
    </row>
    <row r="59" spans="1:14" ht="15.75" hidden="1" outlineLevel="1">
      <c r="A59" t="s">
        <v>796</v>
      </c>
      <c r="B59" s="113">
        <f>B40</f>
        <v>0.09</v>
      </c>
    </row>
    <row r="60" spans="1:14" ht="15.75" hidden="1" outlineLevel="1">
      <c r="A60" t="s">
        <v>797</v>
      </c>
      <c r="B60" s="113">
        <f>B41</f>
        <v>0.34</v>
      </c>
    </row>
    <row r="61" spans="1:14" hidden="1" outlineLevel="1">
      <c r="A61" t="s">
        <v>795</v>
      </c>
      <c r="B61" s="47">
        <f>B42</f>
        <v>1.3615700238417405</v>
      </c>
    </row>
    <row r="63" spans="1:14" ht="18.75" collapsed="1">
      <c r="A63" t="s">
        <v>804</v>
      </c>
      <c r="D63" s="54">
        <f>$B$65*(1-Modelo!C23)+($B$66-$B$65*(1-Modelo!C23))*'Cto Patrimonio'!D55</f>
        <v>0.63505238621353977</v>
      </c>
      <c r="E63" s="54">
        <f>$B$65*(1-Modelo!D23)+($B$66-$B$65*(1-Modelo!D23))*'Cto Patrimonio'!E55</f>
        <v>0.54428032341337873</v>
      </c>
      <c r="F63" s="54">
        <f>$B$65*(1-Modelo!E23)+($B$66-$B$65*(1-Modelo!E23))*'Cto Patrimonio'!F55</f>
        <v>0.50199565908556454</v>
      </c>
      <c r="G63" s="54">
        <f>$B$65*(1-Modelo!F23)+($B$66-$B$65*(1-Modelo!F23))*'Cto Patrimonio'!G55</f>
        <v>0.47996726049505545</v>
      </c>
      <c r="H63" s="54">
        <f>$B$65*(1-Modelo!G23)+($B$66-$B$65*(1-Modelo!G23))*'Cto Patrimonio'!H55</f>
        <v>0.46656288418546044</v>
      </c>
      <c r="I63" s="54">
        <f>$B$65*(1-Modelo!H23)+($B$66-$B$65*(1-Modelo!H23))*'Cto Patrimonio'!I55</f>
        <v>0.45783889488226504</v>
      </c>
      <c r="J63" s="54">
        <f>$B$65*(1-Modelo!I23)+($B$66-$B$65*(1-Modelo!I23))*'Cto Patrimonio'!J55</f>
        <v>0.45190922949220313</v>
      </c>
      <c r="K63" s="54">
        <f>$B$65*(1-Modelo!J23)+($B$66-$B$65*(1-Modelo!J23))*'Cto Patrimonio'!K55</f>
        <v>0.44776131034458844</v>
      </c>
      <c r="L63" s="54">
        <f>$B$65*(1-Modelo!K23)+($B$66-$B$65*(1-Modelo!K23))*'Cto Patrimonio'!L55</f>
        <v>0.44480489197947293</v>
      </c>
      <c r="M63" s="54">
        <f>$B$65*(1-Modelo!L23)+($B$66-$B$65*(1-Modelo!L23))*'Cto Patrimonio'!M55</f>
        <v>0.44267410578540534</v>
      </c>
    </row>
    <row r="64" spans="1:14" ht="18.75" hidden="1" outlineLevel="1">
      <c r="A64" t="s">
        <v>802</v>
      </c>
    </row>
    <row r="65" spans="1:3" ht="15.75" hidden="1" outlineLevel="1">
      <c r="A65" t="s">
        <v>796</v>
      </c>
      <c r="B65" s="113">
        <f>B59</f>
        <v>0.09</v>
      </c>
    </row>
    <row r="66" spans="1:3" ht="15.75" hidden="1" outlineLevel="1">
      <c r="A66" t="s">
        <v>797</v>
      </c>
      <c r="B66" s="113">
        <f>B60</f>
        <v>0.34</v>
      </c>
    </row>
    <row r="67" spans="1:3" hidden="1" outlineLevel="1">
      <c r="A67" t="s">
        <v>795</v>
      </c>
      <c r="B67" s="47">
        <f>B61</f>
        <v>1.3615700238417405</v>
      </c>
    </row>
    <row r="77" spans="1:3">
      <c r="A77" t="s">
        <v>414</v>
      </c>
      <c r="B77" s="56">
        <v>15000000</v>
      </c>
    </row>
    <row r="78" spans="1:3">
      <c r="A78" t="s">
        <v>415</v>
      </c>
      <c r="B78">
        <v>18</v>
      </c>
    </row>
    <row r="79" spans="1:3">
      <c r="A79" t="s">
        <v>417</v>
      </c>
      <c r="B79" s="62">
        <v>0.1</v>
      </c>
    </row>
    <row r="80" spans="1:3">
      <c r="A80" t="s">
        <v>416</v>
      </c>
      <c r="C80" s="56">
        <f>FV(B79,B78,,-B77)</f>
        <v>83398759.702383563</v>
      </c>
    </row>
  </sheetData>
  <phoneticPr fontId="2" type="noConversion"/>
  <pageMargins left="0.75" right="0.75" top="1" bottom="1" header="0" footer="0"/>
  <headerFooter alignWithMargins="0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Hoja10" enableFormatConditionsCalculation="0">
    <tabColor indexed="56"/>
  </sheetPr>
  <dimension ref="A1:I375"/>
  <sheetViews>
    <sheetView workbookViewId="0"/>
  </sheetViews>
  <sheetFormatPr baseColWidth="10" defaultColWidth="12.5703125" defaultRowHeight="12.75" outlineLevelCol="1"/>
  <cols>
    <col min="1" max="1" width="4.28515625" style="81" customWidth="1"/>
    <col min="2" max="2" width="26.5703125" style="81" bestFit="1" customWidth="1"/>
    <col min="3" max="3" width="15.85546875" style="81" hidden="1" customWidth="1" outlineLevel="1"/>
    <col min="4" max="4" width="8.28515625" style="81" hidden="1" customWidth="1" outlineLevel="1"/>
    <col min="5" max="5" width="10.42578125" style="81" hidden="1" customWidth="1" outlineLevel="1"/>
    <col min="6" max="6" width="8.85546875" style="81" hidden="1" customWidth="1" outlineLevel="1"/>
    <col min="7" max="7" width="19.140625" style="81" customWidth="1" collapsed="1"/>
    <col min="8" max="8" width="16.85546875" style="81" hidden="1" customWidth="1" outlineLevel="1"/>
    <col min="9" max="9" width="31.7109375" style="81" bestFit="1" customWidth="1" collapsed="1"/>
    <col min="10" max="16384" width="12.5703125" style="81"/>
  </cols>
  <sheetData>
    <row r="1" spans="1:9">
      <c r="B1" s="81" t="s">
        <v>870</v>
      </c>
    </row>
    <row r="3" spans="1:9" s="82" customFormat="1">
      <c r="A3" s="82" t="s">
        <v>428</v>
      </c>
      <c r="B3" s="82" t="s">
        <v>429</v>
      </c>
      <c r="C3" s="83" t="s">
        <v>430</v>
      </c>
      <c r="D3" s="84" t="s">
        <v>431</v>
      </c>
      <c r="E3" s="85" t="s">
        <v>432</v>
      </c>
      <c r="F3" s="85" t="s">
        <v>433</v>
      </c>
      <c r="G3" s="84" t="s">
        <v>434</v>
      </c>
      <c r="H3" s="85" t="s">
        <v>435</v>
      </c>
      <c r="I3" s="84" t="s">
        <v>436</v>
      </c>
    </row>
    <row r="4" spans="1:9">
      <c r="A4" s="81">
        <v>1</v>
      </c>
      <c r="B4" s="145" t="s">
        <v>437</v>
      </c>
      <c r="C4" s="146">
        <v>27</v>
      </c>
      <c r="D4" s="147">
        <v>1.5077186963979416</v>
      </c>
      <c r="E4" s="148">
        <v>0.23102167936025209</v>
      </c>
      <c r="F4" s="148">
        <v>0.13787777777777774</v>
      </c>
      <c r="G4" s="147">
        <v>1.2573030093894109</v>
      </c>
      <c r="H4" s="148">
        <v>3.839962990813639E-2</v>
      </c>
      <c r="I4" s="147">
        <v>1.3075109458093264</v>
      </c>
    </row>
    <row r="5" spans="1:9">
      <c r="A5" s="81">
        <v>2</v>
      </c>
      <c r="B5" s="145" t="s">
        <v>438</v>
      </c>
      <c r="C5" s="146">
        <v>8</v>
      </c>
      <c r="D5" s="147">
        <v>1.0945469624714907</v>
      </c>
      <c r="E5" s="148">
        <v>1.9838273452100594E-3</v>
      </c>
      <c r="F5" s="148">
        <v>0.16501250000000001</v>
      </c>
      <c r="G5" s="147">
        <v>1.0927368754879221</v>
      </c>
      <c r="H5" s="148">
        <v>0.17748104072143539</v>
      </c>
      <c r="I5" s="147">
        <v>1.3285248481644325</v>
      </c>
    </row>
    <row r="6" spans="1:9">
      <c r="A6" s="81">
        <v>3</v>
      </c>
      <c r="B6" s="145" t="s">
        <v>439</v>
      </c>
      <c r="C6" s="146">
        <v>2</v>
      </c>
      <c r="D6" s="147">
        <v>0.25036284470246739</v>
      </c>
      <c r="E6" s="148">
        <v>7.8422176243842276E-2</v>
      </c>
      <c r="F6" s="148">
        <v>0.12659999999999999</v>
      </c>
      <c r="G6" s="147">
        <v>0.23431377378037554</v>
      </c>
      <c r="H6" s="148">
        <v>0.41872256080837045</v>
      </c>
      <c r="I6" s="147">
        <v>0.40310144172502349</v>
      </c>
    </row>
    <row r="7" spans="1:9">
      <c r="A7" s="81">
        <v>4</v>
      </c>
      <c r="B7" s="145" t="s">
        <v>440</v>
      </c>
      <c r="C7" s="146">
        <v>2</v>
      </c>
      <c r="D7" s="147">
        <v>1.6357039187227866</v>
      </c>
      <c r="E7" s="148">
        <v>0.15719589816124468</v>
      </c>
      <c r="F7" s="148">
        <v>0.13905000000000001</v>
      </c>
      <c r="G7" s="147">
        <v>1.4407200275064218</v>
      </c>
      <c r="H7" s="148">
        <v>0.10956917173509934</v>
      </c>
      <c r="I7" s="147">
        <v>1.6180033100536493</v>
      </c>
    </row>
    <row r="8" spans="1:9">
      <c r="A8" s="81">
        <v>5</v>
      </c>
      <c r="B8" s="145" t="s">
        <v>441</v>
      </c>
      <c r="C8" s="146">
        <v>14</v>
      </c>
      <c r="D8" s="147">
        <v>0.96879535558780838</v>
      </c>
      <c r="E8" s="148">
        <v>0.81370882630874297</v>
      </c>
      <c r="F8" s="148">
        <v>0.33582857142857148</v>
      </c>
      <c r="G8" s="147">
        <v>0.62890732593693255</v>
      </c>
      <c r="H8" s="148">
        <v>0.14711046320218824</v>
      </c>
      <c r="I8" s="147">
        <v>0.73738426701560411</v>
      </c>
    </row>
    <row r="9" spans="1:9">
      <c r="A9" s="81">
        <v>6</v>
      </c>
      <c r="B9" s="145" t="s">
        <v>442</v>
      </c>
      <c r="C9" s="146">
        <v>14</v>
      </c>
      <c r="D9" s="147">
        <v>1.4358974358974361</v>
      </c>
      <c r="E9" s="148">
        <v>6.2344600308502258E-2</v>
      </c>
      <c r="F9" s="148">
        <v>0.20080714285714291</v>
      </c>
      <c r="G9" s="147">
        <v>1.3677488577014454</v>
      </c>
      <c r="H9" s="148">
        <v>4.1214508032579096E-2</v>
      </c>
      <c r="I9" s="147">
        <v>1.4265431310342782</v>
      </c>
    </row>
    <row r="10" spans="1:9">
      <c r="A10" s="81">
        <v>7</v>
      </c>
      <c r="B10" s="145" t="s">
        <v>443</v>
      </c>
      <c r="C10" s="146">
        <v>11</v>
      </c>
      <c r="D10" s="147">
        <v>1.107885824866957</v>
      </c>
      <c r="E10" s="148">
        <v>0.2246372004975131</v>
      </c>
      <c r="F10" s="148">
        <v>0.14043636363636364</v>
      </c>
      <c r="G10" s="147">
        <v>0.92858531521122067</v>
      </c>
      <c r="H10" s="148">
        <v>0.15388987188446276</v>
      </c>
      <c r="I10" s="147">
        <v>1.0974757119139713</v>
      </c>
    </row>
    <row r="11" spans="1:9">
      <c r="A11" s="81">
        <v>8</v>
      </c>
      <c r="B11" s="145" t="s">
        <v>444</v>
      </c>
      <c r="C11" s="146">
        <v>107</v>
      </c>
      <c r="D11" s="147">
        <v>1.2802612481857767</v>
      </c>
      <c r="E11" s="148">
        <v>0.31023705228398069</v>
      </c>
      <c r="F11" s="148">
        <v>0.19922523364485992</v>
      </c>
      <c r="G11" s="147">
        <v>1.025497020297822</v>
      </c>
      <c r="H11" s="148">
        <v>6.0314577855323501E-2</v>
      </c>
      <c r="I11" s="147">
        <v>1.0913194949404394</v>
      </c>
    </row>
    <row r="12" spans="1:9">
      <c r="A12" s="81">
        <v>9</v>
      </c>
      <c r="B12" s="145" t="s">
        <v>445</v>
      </c>
      <c r="C12" s="146">
        <v>126</v>
      </c>
      <c r="D12" s="147">
        <v>1.4033728781472841</v>
      </c>
      <c r="E12" s="148">
        <v>1.5165217686130112E-3</v>
      </c>
      <c r="F12" s="148">
        <v>0.15725317460317459</v>
      </c>
      <c r="G12" s="147">
        <v>1.4015815953304089</v>
      </c>
      <c r="H12" s="148">
        <v>5.4507014333266116E-2</v>
      </c>
      <c r="I12" s="147">
        <v>1.4823818014282304</v>
      </c>
    </row>
    <row r="13" spans="1:9">
      <c r="A13" s="81">
        <v>10</v>
      </c>
      <c r="B13" s="145" t="s">
        <v>446</v>
      </c>
      <c r="C13" s="146">
        <v>1</v>
      </c>
      <c r="D13" s="147">
        <v>1.0377358490566038</v>
      </c>
      <c r="E13" s="148">
        <v>0.24551071428571428</v>
      </c>
      <c r="F13" s="148">
        <v>0.3861</v>
      </c>
      <c r="G13" s="147">
        <v>0.90181514710080146</v>
      </c>
      <c r="H13" s="148">
        <v>0.10951904410984593</v>
      </c>
      <c r="I13" s="147">
        <v>1.0127281680036799</v>
      </c>
    </row>
    <row r="14" spans="1:9">
      <c r="A14" s="81">
        <v>11</v>
      </c>
      <c r="B14" s="145" t="s">
        <v>447</v>
      </c>
      <c r="C14" s="146">
        <v>50</v>
      </c>
      <c r="D14" s="147">
        <v>1.3353138606676345</v>
      </c>
      <c r="E14" s="148">
        <v>0.93858033881885328</v>
      </c>
      <c r="F14" s="148">
        <v>0.151918</v>
      </c>
      <c r="G14" s="147">
        <v>0.74349610108683661</v>
      </c>
      <c r="H14" s="148">
        <v>8.1962617684675262E-2</v>
      </c>
      <c r="I14" s="147">
        <v>0.80987562751716224</v>
      </c>
    </row>
    <row r="15" spans="1:9">
      <c r="A15" s="81">
        <v>12</v>
      </c>
      <c r="B15" s="145" t="s">
        <v>448</v>
      </c>
      <c r="C15" s="146">
        <v>15</v>
      </c>
      <c r="D15" s="147">
        <v>0.99379865417601276</v>
      </c>
      <c r="E15" s="148">
        <v>0.30380644841915777</v>
      </c>
      <c r="F15" s="148">
        <v>0.26900666666666667</v>
      </c>
      <c r="G15" s="147">
        <v>0.81320229198850269</v>
      </c>
      <c r="H15" s="148">
        <v>7.1906505706875748E-2</v>
      </c>
      <c r="I15" s="147">
        <v>0.87620729698991406</v>
      </c>
    </row>
    <row r="16" spans="1:9">
      <c r="A16" s="81">
        <v>13</v>
      </c>
      <c r="B16" s="145" t="s">
        <v>449</v>
      </c>
      <c r="C16" s="146">
        <v>96</v>
      </c>
      <c r="D16" s="147">
        <v>1.1122273952462631</v>
      </c>
      <c r="E16" s="148">
        <v>6.7151368882899506E-2</v>
      </c>
      <c r="F16" s="148">
        <v>0.16354583333333336</v>
      </c>
      <c r="G16" s="147">
        <v>1.0530770650356711</v>
      </c>
      <c r="H16" s="148">
        <v>0.10413961931997484</v>
      </c>
      <c r="I16" s="147">
        <v>1.1754923956301166</v>
      </c>
    </row>
    <row r="17" spans="1:9">
      <c r="A17" s="81">
        <v>14</v>
      </c>
      <c r="B17" s="145" t="s">
        <v>450</v>
      </c>
      <c r="C17" s="146">
        <v>65</v>
      </c>
      <c r="D17" s="147">
        <v>1.2855661858357277</v>
      </c>
      <c r="E17" s="148">
        <v>4.3314846790982131E-2</v>
      </c>
      <c r="F17" s="148">
        <v>0.17447076923076923</v>
      </c>
      <c r="G17" s="147">
        <v>1.2411843237080669</v>
      </c>
      <c r="H17" s="148">
        <v>8.9967244413604569E-2</v>
      </c>
      <c r="I17" s="147">
        <v>1.3638897238465755</v>
      </c>
    </row>
    <row r="18" spans="1:9">
      <c r="A18" s="81">
        <v>15</v>
      </c>
      <c r="B18" s="145" t="s">
        <v>451</v>
      </c>
      <c r="C18" s="146">
        <v>101</v>
      </c>
      <c r="D18" s="147">
        <v>1.07190163989123</v>
      </c>
      <c r="E18" s="148">
        <v>1.6584036464572866E-2</v>
      </c>
      <c r="F18" s="148">
        <v>9.3834653465346543E-2</v>
      </c>
      <c r="G18" s="147">
        <v>1.056031722782828</v>
      </c>
      <c r="H18" s="148">
        <v>4.7272937420221317E-2</v>
      </c>
      <c r="I18" s="147">
        <v>1.1084304878706002</v>
      </c>
    </row>
    <row r="19" spans="1:9">
      <c r="A19" s="81">
        <v>16</v>
      </c>
      <c r="B19" s="145" t="s">
        <v>452</v>
      </c>
      <c r="C19" s="146">
        <v>1</v>
      </c>
      <c r="D19" s="147">
        <v>1.0609579100145139</v>
      </c>
      <c r="E19" s="148">
        <v>6.7092982221302791E-2</v>
      </c>
      <c r="F19" s="148">
        <v>0.1144</v>
      </c>
      <c r="G19" s="147">
        <v>1.0014539734276799</v>
      </c>
      <c r="H19" s="148">
        <v>0.11244946716006865</v>
      </c>
      <c r="I19" s="147">
        <v>1.1283345977195092</v>
      </c>
    </row>
    <row r="20" spans="1:9">
      <c r="A20" s="81">
        <v>17</v>
      </c>
      <c r="B20" s="145" t="s">
        <v>454</v>
      </c>
      <c r="C20" s="146">
        <v>11</v>
      </c>
      <c r="D20" s="147">
        <v>1.0090711175616836</v>
      </c>
      <c r="E20" s="148">
        <v>0.78725468193246484</v>
      </c>
      <c r="F20" s="148">
        <v>0.14362727272727274</v>
      </c>
      <c r="G20" s="147">
        <v>0.60272434551706211</v>
      </c>
      <c r="H20" s="148">
        <v>7.1524854861928014E-2</v>
      </c>
      <c r="I20" s="147">
        <v>0.64915506750310692</v>
      </c>
    </row>
    <row r="21" spans="1:9">
      <c r="A21" s="81">
        <v>18</v>
      </c>
      <c r="B21" s="145" t="s">
        <v>455</v>
      </c>
      <c r="C21" s="146">
        <v>45</v>
      </c>
      <c r="D21" s="147">
        <v>1.1424475202662041</v>
      </c>
      <c r="E21" s="148">
        <v>0.39500206457886117</v>
      </c>
      <c r="F21" s="148">
        <v>0.14930222222222225</v>
      </c>
      <c r="G21" s="147">
        <v>0.85510786575492548</v>
      </c>
      <c r="H21" s="148">
        <v>0.12267776482020112</v>
      </c>
      <c r="I21" s="147">
        <v>0.97467934980546711</v>
      </c>
    </row>
    <row r="22" spans="1:9">
      <c r="A22" s="81">
        <v>19</v>
      </c>
      <c r="B22" s="145" t="s">
        <v>456</v>
      </c>
      <c r="C22" s="146">
        <v>1</v>
      </c>
      <c r="D22" s="147">
        <v>1.8664731494920177</v>
      </c>
      <c r="E22" s="148">
        <v>1.6080000000000001E-2</v>
      </c>
      <c r="F22" s="148">
        <v>0</v>
      </c>
      <c r="G22" s="147">
        <v>1.836935230977893</v>
      </c>
      <c r="H22" s="148">
        <v>6.63114890341093E-2</v>
      </c>
      <c r="I22" s="147">
        <v>1.96739620269891</v>
      </c>
    </row>
    <row r="23" spans="1:9">
      <c r="A23" s="81">
        <v>20</v>
      </c>
      <c r="B23" s="145" t="s">
        <v>459</v>
      </c>
      <c r="C23" s="146">
        <v>74</v>
      </c>
      <c r="D23" s="147">
        <v>1.3286835456646773</v>
      </c>
      <c r="E23" s="148">
        <v>1.7450580014699117</v>
      </c>
      <c r="F23" s="148">
        <v>0.18496891891891892</v>
      </c>
      <c r="G23" s="147">
        <v>0.54852678480788097</v>
      </c>
      <c r="H23" s="148">
        <v>0.1032259696231585</v>
      </c>
      <c r="I23" s="147">
        <v>0.61166666989384122</v>
      </c>
    </row>
    <row r="24" spans="1:9">
      <c r="A24" s="81">
        <v>21</v>
      </c>
      <c r="B24" s="145" t="s">
        <v>460</v>
      </c>
      <c r="C24" s="146">
        <v>25</v>
      </c>
      <c r="D24" s="147">
        <v>1.3077776829164178</v>
      </c>
      <c r="E24" s="148">
        <v>0.21409755777758982</v>
      </c>
      <c r="F24" s="148">
        <v>0.24837200000000006</v>
      </c>
      <c r="G24" s="147">
        <v>1.1264994541283717</v>
      </c>
      <c r="H24" s="148">
        <v>6.7977347735327431E-2</v>
      </c>
      <c r="I24" s="147">
        <v>1.2086610249130214</v>
      </c>
    </row>
    <row r="25" spans="1:9">
      <c r="A25" s="81">
        <v>22</v>
      </c>
      <c r="B25" s="145" t="s">
        <v>457</v>
      </c>
      <c r="C25" s="146">
        <v>124</v>
      </c>
      <c r="D25" s="147">
        <v>1.134772983829587</v>
      </c>
      <c r="E25" s="148">
        <v>0.25325195337626705</v>
      </c>
      <c r="F25" s="148">
        <v>0.20618790322580657</v>
      </c>
      <c r="G25" s="147">
        <v>0.94482965953800524</v>
      </c>
      <c r="H25" s="148">
        <v>7.1548212504046166E-2</v>
      </c>
      <c r="I25" s="147">
        <v>1.0176399811628591</v>
      </c>
    </row>
    <row r="26" spans="1:9">
      <c r="A26" s="81">
        <v>23</v>
      </c>
      <c r="B26" s="145" t="s">
        <v>458</v>
      </c>
      <c r="C26" s="146">
        <v>61</v>
      </c>
      <c r="D26" s="147">
        <v>1.0083652196859745</v>
      </c>
      <c r="E26" s="148">
        <v>0.11441017386004987</v>
      </c>
      <c r="F26" s="148">
        <v>0.22472459016393437</v>
      </c>
      <c r="G26" s="147">
        <v>0.9262108758819122</v>
      </c>
      <c r="H26" s="148">
        <v>3.2645735522073234E-2</v>
      </c>
      <c r="I26" s="147">
        <v>0.95746812713104723</v>
      </c>
    </row>
    <row r="27" spans="1:9">
      <c r="A27" s="81">
        <v>24</v>
      </c>
      <c r="B27" s="145" t="s">
        <v>815</v>
      </c>
      <c r="C27" s="146">
        <v>1</v>
      </c>
      <c r="D27" s="147">
        <v>0.75761973875181432</v>
      </c>
      <c r="E27" s="148">
        <v>3.0327455731547328E-3</v>
      </c>
      <c r="F27" s="148">
        <v>0</v>
      </c>
      <c r="G27" s="147">
        <v>0.7553290180161506</v>
      </c>
      <c r="H27" s="148">
        <v>1.77697038940311E-2</v>
      </c>
      <c r="I27" s="147">
        <v>0.76899381032191372</v>
      </c>
    </row>
    <row r="28" spans="1:9">
      <c r="A28" s="81">
        <v>25</v>
      </c>
      <c r="B28" s="145" t="s">
        <v>461</v>
      </c>
      <c r="C28" s="146">
        <v>28</v>
      </c>
      <c r="D28" s="147">
        <v>1.0153714210317988</v>
      </c>
      <c r="E28" s="148">
        <v>0.31003772869391583</v>
      </c>
      <c r="F28" s="148">
        <v>0.16218214285714283</v>
      </c>
      <c r="G28" s="147">
        <v>0.80600696466188959</v>
      </c>
      <c r="H28" s="148">
        <v>4.5256966154063875E-2</v>
      </c>
      <c r="I28" s="147">
        <v>0.84421350676432627</v>
      </c>
    </row>
    <row r="29" spans="1:9">
      <c r="A29" s="81">
        <v>26</v>
      </c>
      <c r="B29" s="145" t="s">
        <v>462</v>
      </c>
      <c r="C29" s="146">
        <v>42</v>
      </c>
      <c r="D29" s="147">
        <v>0.88272859216255473</v>
      </c>
      <c r="E29" s="148">
        <v>6.4348102020244324E-2</v>
      </c>
      <c r="F29" s="148">
        <v>0.16009047619047617</v>
      </c>
      <c r="G29" s="147">
        <v>0.83746639455180782</v>
      </c>
      <c r="H29" s="148">
        <v>3.3722956006744673E-2</v>
      </c>
      <c r="I29" s="147">
        <v>0.86669387393379227</v>
      </c>
    </row>
    <row r="30" spans="1:9">
      <c r="A30" s="81">
        <v>27</v>
      </c>
      <c r="B30" s="145" t="s">
        <v>463</v>
      </c>
      <c r="C30" s="146">
        <v>58</v>
      </c>
      <c r="D30" s="147">
        <v>1.1278532787966751</v>
      </c>
      <c r="E30" s="148">
        <v>3.5681322337403681E-3</v>
      </c>
      <c r="F30" s="148">
        <v>0.23721034482758618</v>
      </c>
      <c r="G30" s="147">
        <v>1.1247918940550679</v>
      </c>
      <c r="H30" s="148">
        <v>2.8661738087617676E-2</v>
      </c>
      <c r="I30" s="147">
        <v>1.1579816611368363</v>
      </c>
    </row>
    <row r="31" spans="1:9">
      <c r="A31" s="81">
        <v>28</v>
      </c>
      <c r="B31" s="145" t="s">
        <v>464</v>
      </c>
      <c r="C31" s="146">
        <v>10</v>
      </c>
      <c r="D31" s="147">
        <v>1.7073052733430092</v>
      </c>
      <c r="E31" s="148">
        <v>0.2220351716931746</v>
      </c>
      <c r="F31" s="148">
        <v>0.14220000000000002</v>
      </c>
      <c r="G31" s="147">
        <v>1.4341538014645638</v>
      </c>
      <c r="H31" s="148">
        <v>0.14078965652660658</v>
      </c>
      <c r="I31" s="147">
        <v>1.6691533247457633</v>
      </c>
    </row>
    <row r="32" spans="1:9">
      <c r="A32" s="81">
        <v>29</v>
      </c>
      <c r="B32" s="145" t="s">
        <v>465</v>
      </c>
      <c r="C32" s="146">
        <v>17</v>
      </c>
      <c r="D32" s="147">
        <v>1.1758401250418666</v>
      </c>
      <c r="E32" s="148">
        <v>2.9694186570452891E-2</v>
      </c>
      <c r="F32" s="148">
        <v>0.14112941176470589</v>
      </c>
      <c r="G32" s="147">
        <v>1.1465979071818599</v>
      </c>
      <c r="H32" s="148">
        <v>6.2201647891637388E-2</v>
      </c>
      <c r="I32" s="147">
        <v>1.2226486691985257</v>
      </c>
    </row>
    <row r="33" spans="1:9">
      <c r="A33" s="81">
        <v>30</v>
      </c>
      <c r="B33" s="145" t="s">
        <v>466</v>
      </c>
      <c r="C33" s="146">
        <v>253</v>
      </c>
      <c r="D33" s="147">
        <v>1.3154018594892873</v>
      </c>
      <c r="E33" s="148">
        <v>9.8528689377200048E-3</v>
      </c>
      <c r="F33" s="148">
        <v>0.16014031620553354</v>
      </c>
      <c r="G33" s="147">
        <v>1.3046062073893219</v>
      </c>
      <c r="H33" s="148">
        <v>6.0657929022589693E-2</v>
      </c>
      <c r="I33" s="147">
        <v>1.388851034886412</v>
      </c>
    </row>
    <row r="34" spans="1:9">
      <c r="A34" s="81">
        <v>31</v>
      </c>
      <c r="B34" s="145" t="s">
        <v>467</v>
      </c>
      <c r="C34" s="146">
        <v>7</v>
      </c>
      <c r="D34" s="147">
        <v>1.8571843251088533</v>
      </c>
      <c r="E34" s="148">
        <v>0.55918434941035655</v>
      </c>
      <c r="F34" s="148">
        <v>4.3599999999999993E-2</v>
      </c>
      <c r="G34" s="147">
        <v>1.2100466456068202</v>
      </c>
      <c r="H34" s="148">
        <v>5.9512146731103201E-2</v>
      </c>
      <c r="I34" s="147">
        <v>1.2866159210892576</v>
      </c>
    </row>
    <row r="35" spans="1:9">
      <c r="A35" s="81">
        <v>32</v>
      </c>
      <c r="B35" s="145" t="s">
        <v>468</v>
      </c>
      <c r="C35" s="146">
        <v>27</v>
      </c>
      <c r="D35" s="147">
        <v>1.4874653648238552</v>
      </c>
      <c r="E35" s="148">
        <v>4.2789206056134024E-2</v>
      </c>
      <c r="F35" s="148">
        <v>0.20425925925925925</v>
      </c>
      <c r="G35" s="147">
        <v>1.4384861840051739</v>
      </c>
      <c r="H35" s="148">
        <v>7.444365209031506E-2</v>
      </c>
      <c r="I35" s="147">
        <v>1.5541854229122962</v>
      </c>
    </row>
    <row r="36" spans="1:9">
      <c r="A36" s="81">
        <v>33</v>
      </c>
      <c r="B36" s="145" t="s">
        <v>816</v>
      </c>
      <c r="C36" s="146">
        <v>3</v>
      </c>
      <c r="D36" s="147">
        <v>1.3984034833091439</v>
      </c>
      <c r="E36" s="148">
        <v>0.20511606809220898</v>
      </c>
      <c r="F36" s="148">
        <v>0.10343333333333334</v>
      </c>
      <c r="G36" s="147">
        <v>1.1811835562864397</v>
      </c>
      <c r="H36" s="148">
        <v>7.4396542620573783E-2</v>
      </c>
      <c r="I36" s="147">
        <v>1.2761226709660456</v>
      </c>
    </row>
    <row r="37" spans="1:9">
      <c r="A37" s="81">
        <v>34</v>
      </c>
      <c r="B37" s="145" t="s">
        <v>470</v>
      </c>
      <c r="C37" s="146">
        <v>63</v>
      </c>
      <c r="D37" s="147">
        <v>1.699497080365882</v>
      </c>
      <c r="E37" s="148">
        <v>1.4006741461835934</v>
      </c>
      <c r="F37" s="148">
        <v>0.17654285714285711</v>
      </c>
      <c r="G37" s="147">
        <v>0.78921748094554289</v>
      </c>
      <c r="H37" s="148">
        <v>6.2555354462687132E-2</v>
      </c>
      <c r="I37" s="147">
        <v>0.84188168837765243</v>
      </c>
    </row>
    <row r="38" spans="1:9">
      <c r="A38" s="81">
        <v>35</v>
      </c>
      <c r="B38" s="145" t="s">
        <v>469</v>
      </c>
      <c r="C38" s="146">
        <v>83</v>
      </c>
      <c r="D38" s="147">
        <v>1.1938166655147784</v>
      </c>
      <c r="E38" s="148">
        <v>2.7045761801167186E-3</v>
      </c>
      <c r="F38" s="148">
        <v>0.1822192771084338</v>
      </c>
      <c r="G38" s="147">
        <v>1.1911820682611975</v>
      </c>
      <c r="H38" s="148">
        <v>8.1538652995366154E-2</v>
      </c>
      <c r="I38" s="147">
        <v>1.2969321704674717</v>
      </c>
    </row>
    <row r="39" spans="1:9">
      <c r="A39" s="81">
        <v>36</v>
      </c>
      <c r="B39" s="145" t="s">
        <v>817</v>
      </c>
      <c r="C39" s="146">
        <v>1</v>
      </c>
      <c r="D39" s="147" t="s">
        <v>453</v>
      </c>
      <c r="E39" s="148">
        <v>0</v>
      </c>
      <c r="F39" s="148">
        <v>0</v>
      </c>
      <c r="G39" s="147" t="s">
        <v>453</v>
      </c>
      <c r="H39" s="148">
        <v>0</v>
      </c>
      <c r="I39" s="147" t="s">
        <v>453</v>
      </c>
    </row>
    <row r="40" spans="1:9">
      <c r="A40" s="81">
        <v>37</v>
      </c>
      <c r="B40" s="145" t="s">
        <v>471</v>
      </c>
      <c r="C40" s="146">
        <v>55</v>
      </c>
      <c r="D40" s="147">
        <v>0.87983437206522697</v>
      </c>
      <c r="E40" s="148">
        <v>0.28608266159496681</v>
      </c>
      <c r="F40" s="148">
        <v>0.22679454545454547</v>
      </c>
      <c r="G40" s="147">
        <v>0.7204666608133915</v>
      </c>
      <c r="H40" s="148">
        <v>8.8769654875409124E-2</v>
      </c>
      <c r="I40" s="147">
        <v>0.79065262111621559</v>
      </c>
    </row>
    <row r="41" spans="1:9">
      <c r="A41" s="81">
        <v>38</v>
      </c>
      <c r="B41" s="145" t="s">
        <v>472</v>
      </c>
      <c r="C41" s="146">
        <v>21</v>
      </c>
      <c r="D41" s="147">
        <v>1.2270262012069362</v>
      </c>
      <c r="E41" s="148">
        <v>7.1094557843541739E-2</v>
      </c>
      <c r="F41" s="148">
        <v>0.16933809523809523</v>
      </c>
      <c r="G41" s="147">
        <v>1.1586042033619299</v>
      </c>
      <c r="H41" s="148">
        <v>8.0809052780155904E-2</v>
      </c>
      <c r="I41" s="147">
        <v>1.2604608507799251</v>
      </c>
    </row>
    <row r="42" spans="1:9">
      <c r="A42" s="81">
        <v>39</v>
      </c>
      <c r="B42" s="145" t="s">
        <v>474</v>
      </c>
      <c r="C42" s="146">
        <v>163</v>
      </c>
      <c r="D42" s="147">
        <v>1.6601396326510192</v>
      </c>
      <c r="E42" s="148">
        <v>2.616063708351524E-2</v>
      </c>
      <c r="F42" s="148">
        <v>0.2145398773006135</v>
      </c>
      <c r="G42" s="147">
        <v>1.6267136964100857</v>
      </c>
      <c r="H42" s="148">
        <v>8.665541020446435E-2</v>
      </c>
      <c r="I42" s="147">
        <v>1.7810514394947554</v>
      </c>
    </row>
    <row r="43" spans="1:9">
      <c r="A43" s="81">
        <v>40</v>
      </c>
      <c r="B43" s="145" t="s">
        <v>475</v>
      </c>
      <c r="C43" s="146">
        <v>6</v>
      </c>
      <c r="D43" s="147">
        <v>1.8026124818577651</v>
      </c>
      <c r="E43" s="148">
        <v>9.7772017840694364E-2</v>
      </c>
      <c r="F43" s="148">
        <v>6.0299999999999999E-2</v>
      </c>
      <c r="G43" s="147">
        <v>1.6509309472831437</v>
      </c>
      <c r="H43" s="148">
        <v>4.7987745334680337E-2</v>
      </c>
      <c r="I43" s="147">
        <v>1.7341488401990468</v>
      </c>
    </row>
    <row r="44" spans="1:9">
      <c r="A44" s="81">
        <v>41</v>
      </c>
      <c r="B44" s="145" t="s">
        <v>473</v>
      </c>
      <c r="C44" s="146">
        <v>178</v>
      </c>
      <c r="D44" s="147">
        <v>1.6474510159651672</v>
      </c>
      <c r="E44" s="148">
        <v>0.10386715062816673</v>
      </c>
      <c r="F44" s="148">
        <v>0.19729044943820223</v>
      </c>
      <c r="G44" s="147">
        <v>1.5206653117236046</v>
      </c>
      <c r="H44" s="148">
        <v>9.5419016781711594E-2</v>
      </c>
      <c r="I44" s="147">
        <v>1.6810715015403395</v>
      </c>
    </row>
    <row r="45" spans="1:9">
      <c r="A45" s="81">
        <v>42</v>
      </c>
      <c r="B45" s="145" t="s">
        <v>476</v>
      </c>
      <c r="C45" s="146">
        <v>13</v>
      </c>
      <c r="D45" s="147">
        <v>0.67543541364296089</v>
      </c>
      <c r="E45" s="148">
        <v>0.637676090974723</v>
      </c>
      <c r="F45" s="148">
        <v>0.2182307692307692</v>
      </c>
      <c r="G45" s="147">
        <v>0.45073634033395449</v>
      </c>
      <c r="H45" s="148">
        <v>6.4516217862887915E-2</v>
      </c>
      <c r="I45" s="147">
        <v>0.48182165093685286</v>
      </c>
    </row>
    <row r="46" spans="1:9">
      <c r="A46" s="81">
        <v>43</v>
      </c>
      <c r="B46" s="145" t="s">
        <v>477</v>
      </c>
      <c r="C46" s="146">
        <v>12</v>
      </c>
      <c r="D46" s="147">
        <v>1.5181422351233673</v>
      </c>
      <c r="E46" s="148">
        <v>0.13848241923423601</v>
      </c>
      <c r="F46" s="148">
        <v>0.16640000000000002</v>
      </c>
      <c r="G46" s="147">
        <v>1.3610267441106119</v>
      </c>
      <c r="H46" s="148">
        <v>7.4860744123522976E-2</v>
      </c>
      <c r="I46" s="147">
        <v>1.4711587855183759</v>
      </c>
    </row>
    <row r="47" spans="1:9">
      <c r="A47" s="81">
        <v>44</v>
      </c>
      <c r="B47" s="145" t="s">
        <v>478</v>
      </c>
      <c r="C47" s="146">
        <v>9</v>
      </c>
      <c r="D47" s="147">
        <v>1.1098209966134496</v>
      </c>
      <c r="E47" s="148">
        <v>2.5990936335814473E-2</v>
      </c>
      <c r="F47" s="148">
        <v>0.25299999999999995</v>
      </c>
      <c r="G47" s="147">
        <v>1.0886839479728061</v>
      </c>
      <c r="H47" s="148">
        <v>7.8435443594011459E-2</v>
      </c>
      <c r="I47" s="147">
        <v>1.1813431195949711</v>
      </c>
    </row>
    <row r="48" spans="1:9">
      <c r="A48" s="81">
        <v>45</v>
      </c>
      <c r="B48" s="145" t="s">
        <v>479</v>
      </c>
      <c r="C48" s="146">
        <v>4</v>
      </c>
      <c r="D48" s="147">
        <v>1.5345911949685538</v>
      </c>
      <c r="E48" s="148">
        <v>1.6957143584953136E-4</v>
      </c>
      <c r="F48" s="148">
        <v>1.3600000000000001E-2</v>
      </c>
      <c r="G48" s="147">
        <v>1.5343345540938051</v>
      </c>
      <c r="H48" s="148">
        <v>2.5710633952561075E-2</v>
      </c>
      <c r="I48" s="147">
        <v>1.574824284820427</v>
      </c>
    </row>
    <row r="49" spans="1:9">
      <c r="A49" s="81">
        <v>46</v>
      </c>
      <c r="B49" s="145" t="s">
        <v>480</v>
      </c>
      <c r="C49" s="146">
        <v>49</v>
      </c>
      <c r="D49" s="147">
        <v>1.1572050590918517</v>
      </c>
      <c r="E49" s="148">
        <v>4.3489404888314102E-3</v>
      </c>
      <c r="F49" s="148">
        <v>0.21888571428571429</v>
      </c>
      <c r="G49" s="147">
        <v>1.1532873195280893</v>
      </c>
      <c r="H49" s="148">
        <v>3.3326170225204718E-2</v>
      </c>
      <c r="I49" s="147">
        <v>1.1930470071759045</v>
      </c>
    </row>
    <row r="50" spans="1:9">
      <c r="A50" s="81">
        <v>47</v>
      </c>
      <c r="B50" s="145" t="s">
        <v>481</v>
      </c>
      <c r="C50" s="146">
        <v>52</v>
      </c>
      <c r="D50" s="147">
        <v>1.1513253380184854</v>
      </c>
      <c r="E50" s="148">
        <v>0.43958728970686728</v>
      </c>
      <c r="F50" s="148">
        <v>0.22875961538461542</v>
      </c>
      <c r="G50" s="147">
        <v>0.859822045089914</v>
      </c>
      <c r="H50" s="148">
        <v>6.1289917110604455E-2</v>
      </c>
      <c r="I50" s="147">
        <v>0.91596123314595679</v>
      </c>
    </row>
    <row r="51" spans="1:9">
      <c r="A51" s="81">
        <v>48</v>
      </c>
      <c r="B51" s="145" t="s">
        <v>482</v>
      </c>
      <c r="C51" s="146">
        <v>109</v>
      </c>
      <c r="D51" s="147">
        <v>1.2312174506958087</v>
      </c>
      <c r="E51" s="148">
        <v>0.34013633596137693</v>
      </c>
      <c r="F51" s="148">
        <v>0.20054587155963302</v>
      </c>
      <c r="G51" s="147">
        <v>0.96799654178501648</v>
      </c>
      <c r="H51" s="148">
        <v>6.3209700192442875E-2</v>
      </c>
      <c r="I51" s="147">
        <v>1.0333118756501536</v>
      </c>
    </row>
    <row r="52" spans="1:9">
      <c r="A52" s="81">
        <v>49</v>
      </c>
      <c r="B52" s="145" t="s">
        <v>483</v>
      </c>
      <c r="C52" s="146">
        <v>32</v>
      </c>
      <c r="D52" s="147">
        <v>1.5605477377421597</v>
      </c>
      <c r="E52" s="148">
        <v>0.8431116081807325</v>
      </c>
      <c r="F52" s="148">
        <v>0.19341249999999999</v>
      </c>
      <c r="G52" s="147">
        <v>0.92887353103303927</v>
      </c>
      <c r="H52" s="148">
        <v>9.5890983567999577E-2</v>
      </c>
      <c r="I52" s="147">
        <v>1.0273910713762928</v>
      </c>
    </row>
    <row r="53" spans="1:9">
      <c r="A53" s="81">
        <v>50</v>
      </c>
      <c r="B53" s="145" t="s">
        <v>484</v>
      </c>
      <c r="C53" s="146">
        <v>55</v>
      </c>
      <c r="D53" s="147">
        <v>1.4765732574150572</v>
      </c>
      <c r="E53" s="148">
        <v>0.44930333740678596</v>
      </c>
      <c r="F53" s="148">
        <v>0.2076036363636363</v>
      </c>
      <c r="G53" s="147">
        <v>1.0888971872834283</v>
      </c>
      <c r="H53" s="148">
        <v>5.6119088581173322E-2</v>
      </c>
      <c r="I53" s="147">
        <v>1.1536383182562888</v>
      </c>
    </row>
    <row r="54" spans="1:9">
      <c r="A54" s="81">
        <v>51</v>
      </c>
      <c r="B54" s="145" t="s">
        <v>485</v>
      </c>
      <c r="C54" s="146">
        <v>52</v>
      </c>
      <c r="D54" s="147">
        <v>1.3050314465408808</v>
      </c>
      <c r="E54" s="148">
        <v>0.39924151719436901</v>
      </c>
      <c r="F54" s="148">
        <v>0.14771346153846152</v>
      </c>
      <c r="G54" s="147">
        <v>0.97370919870428285</v>
      </c>
      <c r="H54" s="148">
        <v>0.11955246445977022</v>
      </c>
      <c r="I54" s="147">
        <v>1.1059252929895806</v>
      </c>
    </row>
    <row r="55" spans="1:9">
      <c r="A55" s="81">
        <v>52</v>
      </c>
      <c r="B55" s="145" t="s">
        <v>486</v>
      </c>
      <c r="C55" s="146">
        <v>98</v>
      </c>
      <c r="D55" s="147">
        <v>1.2332153748308083</v>
      </c>
      <c r="E55" s="148">
        <v>0.1771033931177525</v>
      </c>
      <c r="F55" s="148">
        <v>0.23200714285714288</v>
      </c>
      <c r="G55" s="147">
        <v>1.0855634014066433</v>
      </c>
      <c r="H55" s="148">
        <v>5.9516342896557203E-2</v>
      </c>
      <c r="I55" s="147">
        <v>1.1542607818938881</v>
      </c>
    </row>
    <row r="56" spans="1:9">
      <c r="A56" s="81">
        <v>53</v>
      </c>
      <c r="B56" s="145" t="s">
        <v>487</v>
      </c>
      <c r="C56" s="146">
        <v>53</v>
      </c>
      <c r="D56" s="147">
        <v>1.3373683722941054</v>
      </c>
      <c r="E56" s="148">
        <v>0.27807376330433964</v>
      </c>
      <c r="F56" s="148">
        <v>0.11270754716981131</v>
      </c>
      <c r="G56" s="147">
        <v>1.0726985159203524</v>
      </c>
      <c r="H56" s="148">
        <v>0.10817647630348629</v>
      </c>
      <c r="I56" s="147">
        <v>1.2028147805230915</v>
      </c>
    </row>
    <row r="57" spans="1:9">
      <c r="A57" s="81">
        <v>54</v>
      </c>
      <c r="B57" s="145" t="s">
        <v>818</v>
      </c>
      <c r="C57" s="146">
        <v>2</v>
      </c>
      <c r="D57" s="147">
        <v>1.6023222060957913</v>
      </c>
      <c r="E57" s="148">
        <v>0</v>
      </c>
      <c r="F57" s="148">
        <v>7.8499999999999993E-3</v>
      </c>
      <c r="G57" s="147">
        <v>1.6023222060957913</v>
      </c>
      <c r="H57" s="148">
        <v>0.20008060601994182</v>
      </c>
      <c r="I57" s="147">
        <v>2.0031045854799427</v>
      </c>
    </row>
    <row r="58" spans="1:9">
      <c r="A58" s="81">
        <v>55</v>
      </c>
      <c r="B58" s="145" t="s">
        <v>819</v>
      </c>
      <c r="C58" s="146">
        <v>1</v>
      </c>
      <c r="D58" s="147">
        <v>0.32801161103047899</v>
      </c>
      <c r="E58" s="148">
        <v>0</v>
      </c>
      <c r="F58" s="148">
        <v>0</v>
      </c>
      <c r="G58" s="147">
        <v>0.32801161103047899</v>
      </c>
      <c r="H58" s="148">
        <v>7.9102059427535149E-2</v>
      </c>
      <c r="I58" s="147">
        <v>0.3561867136184218</v>
      </c>
    </row>
    <row r="59" spans="1:9">
      <c r="A59" s="81">
        <v>56</v>
      </c>
      <c r="B59" s="145" t="s">
        <v>488</v>
      </c>
      <c r="C59" s="146">
        <v>60</v>
      </c>
      <c r="D59" s="147">
        <v>1.3354884109601095</v>
      </c>
      <c r="E59" s="148">
        <v>5.5201365697755077E-4</v>
      </c>
      <c r="F59" s="148">
        <v>0.21335333333333337</v>
      </c>
      <c r="G59" s="147">
        <v>1.3349087405847779</v>
      </c>
      <c r="H59" s="148">
        <v>4.1603012020126132E-2</v>
      </c>
      <c r="I59" s="147">
        <v>1.3928557344472903</v>
      </c>
    </row>
    <row r="60" spans="1:9">
      <c r="A60" s="81">
        <v>57</v>
      </c>
      <c r="B60" s="145" t="s">
        <v>489</v>
      </c>
      <c r="C60" s="146">
        <v>37</v>
      </c>
      <c r="D60" s="147">
        <v>0.96734397677793904</v>
      </c>
      <c r="E60" s="148">
        <v>0.15391657767590583</v>
      </c>
      <c r="F60" s="148">
        <v>0.23186756756756749</v>
      </c>
      <c r="G60" s="147">
        <v>0.86506839759580623</v>
      </c>
      <c r="H60" s="148">
        <v>4.8973302029776115E-2</v>
      </c>
      <c r="I60" s="147">
        <v>0.90961526047809338</v>
      </c>
    </row>
    <row r="61" spans="1:9">
      <c r="A61" s="81">
        <v>58</v>
      </c>
      <c r="B61" s="145" t="s">
        <v>490</v>
      </c>
      <c r="C61" s="146">
        <v>6</v>
      </c>
      <c r="D61" s="147">
        <v>0.81930333817126277</v>
      </c>
      <c r="E61" s="148">
        <v>0.45621456627924267</v>
      </c>
      <c r="F61" s="148">
        <v>0.20974999999999996</v>
      </c>
      <c r="G61" s="147">
        <v>0.60219709651169728</v>
      </c>
      <c r="H61" s="148">
        <v>7.1177523181152669E-2</v>
      </c>
      <c r="I61" s="147">
        <v>0.64834466385243028</v>
      </c>
    </row>
    <row r="62" spans="1:9">
      <c r="A62" s="81">
        <v>59</v>
      </c>
      <c r="B62" s="145" t="s">
        <v>491</v>
      </c>
      <c r="C62" s="146">
        <v>1</v>
      </c>
      <c r="D62" s="147">
        <v>0.70246734397677801</v>
      </c>
      <c r="E62" s="148">
        <v>1.2261176656097104E-2</v>
      </c>
      <c r="F62" s="148">
        <v>3.27E-2</v>
      </c>
      <c r="G62" s="147">
        <v>0.69423356987437035</v>
      </c>
      <c r="H62" s="148">
        <v>2.7636204771117258E-2</v>
      </c>
      <c r="I62" s="147">
        <v>0.71396484863050269</v>
      </c>
    </row>
    <row r="63" spans="1:9">
      <c r="A63" s="81">
        <v>60</v>
      </c>
      <c r="B63" s="145" t="s">
        <v>492</v>
      </c>
      <c r="C63" s="146">
        <v>561</v>
      </c>
      <c r="D63" s="147">
        <v>1.3280756424485611</v>
      </c>
      <c r="E63" s="148">
        <v>0.11262192759329331</v>
      </c>
      <c r="F63" s="148">
        <v>0.1911875222816401</v>
      </c>
      <c r="G63" s="147">
        <v>1.2172007971265146</v>
      </c>
      <c r="H63" s="148">
        <v>0.22896938271859762</v>
      </c>
      <c r="I63" s="147">
        <v>1.5786672667011277</v>
      </c>
    </row>
    <row r="64" spans="1:9">
      <c r="A64" s="81">
        <v>61</v>
      </c>
      <c r="B64" s="145" t="s">
        <v>493</v>
      </c>
      <c r="C64" s="146">
        <v>10</v>
      </c>
      <c r="D64" s="147">
        <v>0.97145621673923566</v>
      </c>
      <c r="E64" s="148">
        <v>2.9908528214547501E-2</v>
      </c>
      <c r="F64" s="148">
        <v>0.20680000000000001</v>
      </c>
      <c r="G64" s="147">
        <v>0.94894399643060012</v>
      </c>
      <c r="H64" s="148">
        <v>0.1888854240768289</v>
      </c>
      <c r="I64" s="147">
        <v>1.1699259569470297</v>
      </c>
    </row>
    <row r="65" spans="1:9">
      <c r="A65" s="81">
        <v>62</v>
      </c>
      <c r="B65" s="145" t="s">
        <v>494</v>
      </c>
      <c r="C65" s="146">
        <v>23</v>
      </c>
      <c r="D65" s="147">
        <v>0.98080954684728283</v>
      </c>
      <c r="E65" s="148">
        <v>4.6812328304455128E-2</v>
      </c>
      <c r="F65" s="148">
        <v>0.14052173913043478</v>
      </c>
      <c r="G65" s="147">
        <v>0.94287379428762341</v>
      </c>
      <c r="H65" s="148">
        <v>9.8410550842681146E-2</v>
      </c>
      <c r="I65" s="147">
        <v>1.0457906258429392</v>
      </c>
    </row>
    <row r="66" spans="1:9">
      <c r="A66" s="81">
        <v>63</v>
      </c>
      <c r="B66" s="145" t="s">
        <v>495</v>
      </c>
      <c r="C66" s="146">
        <v>16</v>
      </c>
      <c r="D66" s="147">
        <v>0.84818577648766325</v>
      </c>
      <c r="E66" s="148">
        <v>5.332868293530111E-2</v>
      </c>
      <c r="F66" s="148">
        <v>5.5549999999999995E-2</v>
      </c>
      <c r="G66" s="147">
        <v>0.80751429001477226</v>
      </c>
      <c r="H66" s="148">
        <v>2.8679303391491797E-2</v>
      </c>
      <c r="I66" s="147">
        <v>0.83135703051969634</v>
      </c>
    </row>
    <row r="67" spans="1:9">
      <c r="A67" s="81">
        <v>64</v>
      </c>
      <c r="B67" s="145" t="s">
        <v>496</v>
      </c>
      <c r="C67" s="146">
        <v>5</v>
      </c>
      <c r="D67" s="147">
        <v>2.0484760522496375</v>
      </c>
      <c r="E67" s="148">
        <v>3.416828562295008E-2</v>
      </c>
      <c r="F67" s="148">
        <v>0.14732000000000003</v>
      </c>
      <c r="G67" s="147">
        <v>1.990484067692273</v>
      </c>
      <c r="H67" s="148">
        <v>5.4328413972659431E-3</v>
      </c>
      <c r="I67" s="147">
        <v>2.0013571235236656</v>
      </c>
    </row>
    <row r="68" spans="1:9">
      <c r="A68" s="81">
        <v>65</v>
      </c>
      <c r="B68" s="145" t="s">
        <v>820</v>
      </c>
      <c r="C68" s="146">
        <v>2</v>
      </c>
      <c r="D68" s="147">
        <v>1.4535558780841802</v>
      </c>
      <c r="E68" s="148">
        <v>4.2620649374334803E-2</v>
      </c>
      <c r="F68" s="148">
        <v>3.85E-2</v>
      </c>
      <c r="G68" s="147">
        <v>1.3963344358787182</v>
      </c>
      <c r="H68" s="148">
        <v>0.12786026718805729</v>
      </c>
      <c r="I68" s="147">
        <v>1.6010444007368787</v>
      </c>
    </row>
    <row r="69" spans="1:9">
      <c r="A69" s="81">
        <v>66</v>
      </c>
      <c r="B69" s="145" t="s">
        <v>821</v>
      </c>
      <c r="C69" s="146">
        <v>1</v>
      </c>
      <c r="D69" s="147">
        <v>1.3817126269956459</v>
      </c>
      <c r="E69" s="148">
        <v>0.70265654789781917</v>
      </c>
      <c r="F69" s="148">
        <v>0</v>
      </c>
      <c r="G69" s="147">
        <v>0.81150401629828051</v>
      </c>
      <c r="H69" s="148">
        <v>9.8187274791541315E-4</v>
      </c>
      <c r="I69" s="147">
        <v>0.81230159309562933</v>
      </c>
    </row>
    <row r="70" spans="1:9">
      <c r="A70" s="81">
        <v>67</v>
      </c>
      <c r="B70" s="145" t="s">
        <v>497</v>
      </c>
      <c r="C70" s="146">
        <v>51</v>
      </c>
      <c r="D70" s="147">
        <v>1.015343147418619</v>
      </c>
      <c r="E70" s="148">
        <v>9.1206072073168581E-2</v>
      </c>
      <c r="F70" s="148">
        <v>9.7370588235294112E-2</v>
      </c>
      <c r="G70" s="147">
        <v>0.93811274964485936</v>
      </c>
      <c r="H70" s="148">
        <v>6.6599447725264924E-2</v>
      </c>
      <c r="I70" s="147">
        <v>1.0050484193079172</v>
      </c>
    </row>
    <row r="71" spans="1:9">
      <c r="A71" s="81">
        <v>68</v>
      </c>
      <c r="B71" s="145" t="s">
        <v>498</v>
      </c>
      <c r="C71" s="146">
        <v>28</v>
      </c>
      <c r="D71" s="147">
        <v>1.3559664289770934</v>
      </c>
      <c r="E71" s="148">
        <v>5.5119491683785493E-2</v>
      </c>
      <c r="F71" s="148">
        <v>0.11854285714285713</v>
      </c>
      <c r="G71" s="147">
        <v>1.2931386789317256</v>
      </c>
      <c r="H71" s="148">
        <v>7.2202737423874189E-2</v>
      </c>
      <c r="I71" s="147">
        <v>1.3937728974767518</v>
      </c>
    </row>
    <row r="72" spans="1:9">
      <c r="A72" s="81">
        <v>69</v>
      </c>
      <c r="B72" s="145" t="s">
        <v>499</v>
      </c>
      <c r="C72" s="146">
        <v>39</v>
      </c>
      <c r="D72" s="147">
        <v>1.5334519406339249</v>
      </c>
      <c r="E72" s="148">
        <v>0.10711906271192559</v>
      </c>
      <c r="F72" s="148">
        <v>0.17547179487179482</v>
      </c>
      <c r="G72" s="147">
        <v>1.4090048446286503</v>
      </c>
      <c r="H72" s="148">
        <v>0.12674371019127423</v>
      </c>
      <c r="I72" s="147">
        <v>1.6135066658807262</v>
      </c>
    </row>
    <row r="73" spans="1:9">
      <c r="A73" s="81">
        <v>70</v>
      </c>
      <c r="B73" s="145" t="s">
        <v>500</v>
      </c>
      <c r="C73" s="146">
        <v>51</v>
      </c>
      <c r="D73" s="147">
        <v>1.2031930333817129</v>
      </c>
      <c r="E73" s="148">
        <v>8.3165517084222443E-2</v>
      </c>
      <c r="F73" s="148">
        <v>0.14640784313725486</v>
      </c>
      <c r="G73" s="147">
        <v>1.1234406205988059</v>
      </c>
      <c r="H73" s="148">
        <v>0.10087480145157035</v>
      </c>
      <c r="I73" s="147">
        <v>1.2494818545987998</v>
      </c>
    </row>
    <row r="74" spans="1:9">
      <c r="A74" s="81">
        <v>71</v>
      </c>
      <c r="B74" s="145" t="s">
        <v>501</v>
      </c>
      <c r="C74" s="146">
        <v>15</v>
      </c>
      <c r="D74" s="147">
        <v>1.51485244315433</v>
      </c>
      <c r="E74" s="148">
        <v>0.59396353353337827</v>
      </c>
      <c r="F74" s="148">
        <v>0.18660000000000002</v>
      </c>
      <c r="G74" s="147">
        <v>1.0213888912641682</v>
      </c>
      <c r="H74" s="148">
        <v>0.11912905209094968</v>
      </c>
      <c r="I74" s="147">
        <v>1.1595216003986391</v>
      </c>
    </row>
    <row r="75" spans="1:9">
      <c r="A75" s="81">
        <v>72</v>
      </c>
      <c r="B75" s="145" t="s">
        <v>502</v>
      </c>
      <c r="C75" s="146">
        <v>5</v>
      </c>
      <c r="D75" s="147">
        <v>1.0272133526850509</v>
      </c>
      <c r="E75" s="148">
        <v>0.1345784785929198</v>
      </c>
      <c r="F75" s="148">
        <v>0.10266</v>
      </c>
      <c r="G75" s="147">
        <v>0.91653067745413985</v>
      </c>
      <c r="H75" s="148">
        <v>0.15369032509340882</v>
      </c>
      <c r="I75" s="147">
        <v>1.0829731771119113</v>
      </c>
    </row>
    <row r="76" spans="1:9">
      <c r="A76" s="81">
        <v>73</v>
      </c>
      <c r="B76" s="145" t="s">
        <v>503</v>
      </c>
      <c r="C76" s="146">
        <v>57</v>
      </c>
      <c r="D76" s="147">
        <v>1.3572133526850505</v>
      </c>
      <c r="E76" s="148">
        <v>0.17445873003192619</v>
      </c>
      <c r="F76" s="148">
        <v>0.1239157894736842</v>
      </c>
      <c r="G76" s="147">
        <v>1.1772776086914472</v>
      </c>
      <c r="H76" s="148">
        <v>0.16071317236690413</v>
      </c>
      <c r="I76" s="147">
        <v>1.4027118857703651</v>
      </c>
    </row>
    <row r="77" spans="1:9">
      <c r="A77" s="81">
        <v>74</v>
      </c>
      <c r="B77" s="145" t="s">
        <v>504</v>
      </c>
      <c r="C77" s="146">
        <v>12</v>
      </c>
      <c r="D77" s="147">
        <v>1.2757619738751813</v>
      </c>
      <c r="E77" s="148">
        <v>0.10050042361143385</v>
      </c>
      <c r="F77" s="148">
        <v>0.11515000000000002</v>
      </c>
      <c r="G77" s="147">
        <v>1.1715762735337731</v>
      </c>
      <c r="H77" s="148">
        <v>4.9020211175336732E-2</v>
      </c>
      <c r="I77" s="147">
        <v>1.2319675846967788</v>
      </c>
    </row>
    <row r="78" spans="1:9">
      <c r="A78" s="81">
        <v>75</v>
      </c>
      <c r="B78" s="145" t="s">
        <v>505</v>
      </c>
      <c r="C78" s="146">
        <v>19</v>
      </c>
      <c r="D78" s="147">
        <v>1.5374567377470134</v>
      </c>
      <c r="E78" s="148">
        <v>2.7255150827836548E-2</v>
      </c>
      <c r="F78" s="148">
        <v>0.13669473684210529</v>
      </c>
      <c r="G78" s="147">
        <v>1.5021127529575242</v>
      </c>
      <c r="H78" s="148">
        <v>6.1013868069938616E-2</v>
      </c>
      <c r="I78" s="147">
        <v>1.5997177188016301</v>
      </c>
    </row>
    <row r="79" spans="1:9">
      <c r="A79" s="81">
        <v>76</v>
      </c>
      <c r="B79" s="145" t="s">
        <v>506</v>
      </c>
      <c r="C79" s="146">
        <v>27</v>
      </c>
      <c r="D79" s="147">
        <v>1.0918951951722558</v>
      </c>
      <c r="E79" s="148">
        <v>0.76178570378143839</v>
      </c>
      <c r="F79" s="148">
        <v>0.23203703703703701</v>
      </c>
      <c r="G79" s="147">
        <v>0.68888278158213589</v>
      </c>
      <c r="H79" s="148">
        <v>0.10646278663817822</v>
      </c>
      <c r="I79" s="147">
        <v>0.77096149022187976</v>
      </c>
    </row>
    <row r="80" spans="1:9">
      <c r="A80" s="81">
        <v>77</v>
      </c>
      <c r="B80" s="145" t="s">
        <v>507</v>
      </c>
      <c r="C80" s="146">
        <v>44</v>
      </c>
      <c r="D80" s="147">
        <v>1.0450691314643652</v>
      </c>
      <c r="E80" s="148">
        <v>0.11073331873115368</v>
      </c>
      <c r="F80" s="148">
        <v>0.24188181818181817</v>
      </c>
      <c r="G80" s="147">
        <v>0.96413132640951349</v>
      </c>
      <c r="H80" s="148">
        <v>5.8616822933512579E-2</v>
      </c>
      <c r="I80" s="147">
        <v>1.0241646015110586</v>
      </c>
    </row>
    <row r="81" spans="1:9">
      <c r="A81" s="81">
        <v>78</v>
      </c>
      <c r="B81" s="145" t="s">
        <v>822</v>
      </c>
      <c r="C81" s="146">
        <v>1</v>
      </c>
      <c r="D81" s="147">
        <v>1.0290275761973875</v>
      </c>
      <c r="E81" s="148">
        <v>3.3451063434097521</v>
      </c>
      <c r="F81" s="148">
        <v>0.12509999999999999</v>
      </c>
      <c r="G81" s="147">
        <v>0.26206356303799838</v>
      </c>
      <c r="H81" s="148">
        <v>0.73676826870829226</v>
      </c>
      <c r="I81" s="147">
        <v>0.99556220578736077</v>
      </c>
    </row>
    <row r="82" spans="1:9">
      <c r="A82" s="81">
        <v>79</v>
      </c>
      <c r="B82" s="145" t="s">
        <v>508</v>
      </c>
      <c r="C82" s="146">
        <v>36</v>
      </c>
      <c r="D82" s="147">
        <v>0.99575337311186396</v>
      </c>
      <c r="E82" s="148">
        <v>2.0236978165210324E-2</v>
      </c>
      <c r="F82" s="148">
        <v>0.2338305555555556</v>
      </c>
      <c r="G82" s="147">
        <v>0.98054999030558831</v>
      </c>
      <c r="H82" s="148">
        <v>5.975573510702227E-2</v>
      </c>
      <c r="I82" s="147">
        <v>1.0428672919554562</v>
      </c>
    </row>
    <row r="83" spans="1:9">
      <c r="A83" s="81">
        <v>80</v>
      </c>
      <c r="B83" s="145" t="s">
        <v>509</v>
      </c>
      <c r="C83" s="146">
        <v>4</v>
      </c>
      <c r="D83" s="147">
        <v>0.67102080309627476</v>
      </c>
      <c r="E83" s="148">
        <v>0.16668538341517014</v>
      </c>
      <c r="F83" s="148">
        <v>4.2000000000000006E-3</v>
      </c>
      <c r="G83" s="147">
        <v>0.57549679256772157</v>
      </c>
      <c r="H83" s="148">
        <v>5.6340920629856059E-2</v>
      </c>
      <c r="I83" s="147">
        <v>0.60985667933364607</v>
      </c>
    </row>
    <row r="84" spans="1:9">
      <c r="A84" s="81">
        <v>81</v>
      </c>
      <c r="B84" s="145" t="s">
        <v>510</v>
      </c>
      <c r="C84" s="146">
        <v>2</v>
      </c>
      <c r="D84" s="147">
        <v>0.52685050798258348</v>
      </c>
      <c r="E84" s="148">
        <v>0.12795531534052812</v>
      </c>
      <c r="F84" s="148">
        <v>8.77E-2</v>
      </c>
      <c r="G84" s="147">
        <v>0.47177813209414554</v>
      </c>
      <c r="H84" s="148">
        <v>5.1742698214718864E-2</v>
      </c>
      <c r="I84" s="147">
        <v>0.49752122256894865</v>
      </c>
    </row>
    <row r="85" spans="1:9">
      <c r="A85" s="81">
        <v>82</v>
      </c>
      <c r="B85" s="145" t="s">
        <v>511</v>
      </c>
      <c r="C85" s="146">
        <v>7</v>
      </c>
      <c r="D85" s="147">
        <v>1.2721335268505081</v>
      </c>
      <c r="E85" s="148">
        <v>8.4142952517304012E-2</v>
      </c>
      <c r="F85" s="148">
        <v>8.2757142857142862E-2</v>
      </c>
      <c r="G85" s="147">
        <v>1.1809856209310245</v>
      </c>
      <c r="H85" s="148">
        <v>1.9911664770581494E-2</v>
      </c>
      <c r="I85" s="147">
        <v>1.2049787539350523</v>
      </c>
    </row>
    <row r="86" spans="1:9">
      <c r="A86" s="81">
        <v>83</v>
      </c>
      <c r="B86" s="145" t="s">
        <v>512</v>
      </c>
      <c r="C86" s="146">
        <v>5</v>
      </c>
      <c r="D86" s="147">
        <v>0.90420899854862125</v>
      </c>
      <c r="E86" s="148">
        <v>1.0298508179228822E-2</v>
      </c>
      <c r="F86" s="148">
        <v>0.12208000000000001</v>
      </c>
      <c r="G86" s="147">
        <v>0.89610705602118956</v>
      </c>
      <c r="H86" s="148">
        <v>4.958350585049999E-2</v>
      </c>
      <c r="I86" s="147">
        <v>0.94285722263594507</v>
      </c>
    </row>
    <row r="87" spans="1:9">
      <c r="A87" s="81">
        <v>84</v>
      </c>
      <c r="B87" s="145" t="s">
        <v>823</v>
      </c>
      <c r="C87" s="146">
        <v>3</v>
      </c>
      <c r="D87" s="147">
        <v>0.41074020319303339</v>
      </c>
      <c r="E87" s="148">
        <v>8.3929702247133281E-2</v>
      </c>
      <c r="F87" s="148">
        <v>0.15980000000000003</v>
      </c>
      <c r="G87" s="147">
        <v>0.38368369756651199</v>
      </c>
      <c r="H87" s="148">
        <v>9.9695303165030485E-3</v>
      </c>
      <c r="I87" s="147">
        <v>0.38754736274851409</v>
      </c>
    </row>
    <row r="88" spans="1:9">
      <c r="A88" s="81">
        <v>85</v>
      </c>
      <c r="B88" s="145" t="s">
        <v>824</v>
      </c>
      <c r="C88" s="146">
        <v>1</v>
      </c>
      <c r="D88" s="147" t="s">
        <v>453</v>
      </c>
      <c r="E88" s="148">
        <v>0</v>
      </c>
      <c r="F88" s="148">
        <v>0</v>
      </c>
      <c r="G88" s="147" t="s">
        <v>453</v>
      </c>
      <c r="H88" s="148">
        <v>0</v>
      </c>
      <c r="I88" s="147" t="s">
        <v>453</v>
      </c>
    </row>
    <row r="89" spans="1:9">
      <c r="A89" s="81">
        <v>86</v>
      </c>
      <c r="B89" s="145" t="s">
        <v>513</v>
      </c>
      <c r="C89" s="146">
        <v>7</v>
      </c>
      <c r="D89" s="147">
        <v>1.0474117077890663</v>
      </c>
      <c r="E89" s="148">
        <v>2.957986930910847E-2</v>
      </c>
      <c r="F89" s="148">
        <v>0.37077142857142853</v>
      </c>
      <c r="G89" s="147">
        <v>1.0282729781065072</v>
      </c>
      <c r="H89" s="148">
        <v>4.2236009605131221E-2</v>
      </c>
      <c r="I89" s="147">
        <v>1.0736183323018531</v>
      </c>
    </row>
    <row r="90" spans="1:9">
      <c r="A90" s="81">
        <v>87</v>
      </c>
      <c r="B90" s="145" t="s">
        <v>825</v>
      </c>
      <c r="C90" s="146">
        <v>1</v>
      </c>
      <c r="D90" s="147">
        <v>2.0653120464441219</v>
      </c>
      <c r="E90" s="148">
        <v>1.1211465517241379E-2</v>
      </c>
      <c r="F90" s="148">
        <v>0</v>
      </c>
      <c r="G90" s="147">
        <v>2.0424135968313029</v>
      </c>
      <c r="H90" s="148">
        <v>1.8967262978266168E-2</v>
      </c>
      <c r="I90" s="147">
        <v>2.0819015714315099</v>
      </c>
    </row>
    <row r="91" spans="1:9">
      <c r="A91" s="81">
        <v>88</v>
      </c>
      <c r="B91" s="145" t="s">
        <v>514</v>
      </c>
      <c r="C91" s="146">
        <v>8</v>
      </c>
      <c r="D91" s="147">
        <v>1.2055515239477506</v>
      </c>
      <c r="E91" s="148">
        <v>0.76000267395362897</v>
      </c>
      <c r="F91" s="148">
        <v>0.16938750000000002</v>
      </c>
      <c r="G91" s="147">
        <v>0.73902738858490602</v>
      </c>
      <c r="H91" s="148">
        <v>6.0130897363250939E-2</v>
      </c>
      <c r="I91" s="147">
        <v>0.78630884504193921</v>
      </c>
    </row>
    <row r="92" spans="1:9">
      <c r="A92" s="81">
        <v>89</v>
      </c>
      <c r="B92" s="145" t="s">
        <v>826</v>
      </c>
      <c r="C92" s="146">
        <v>2</v>
      </c>
      <c r="D92" s="147" t="s">
        <v>453</v>
      </c>
      <c r="E92" s="148">
        <v>2.4691252315918014E-2</v>
      </c>
      <c r="F92" s="148">
        <v>2.6000000000000002E-2</v>
      </c>
      <c r="G92" s="147" t="s">
        <v>453</v>
      </c>
      <c r="H92" s="148">
        <v>1.4004805865265703E-3</v>
      </c>
      <c r="I92" s="147" t="s">
        <v>453</v>
      </c>
    </row>
    <row r="93" spans="1:9">
      <c r="A93" s="81">
        <v>90</v>
      </c>
      <c r="B93" s="145" t="s">
        <v>827</v>
      </c>
      <c r="C93" s="146">
        <v>5</v>
      </c>
      <c r="D93" s="147">
        <v>1.0014513788098696</v>
      </c>
      <c r="E93" s="148">
        <v>6.0890957657690155E-2</v>
      </c>
      <c r="F93" s="148">
        <v>9.713999999999999E-2</v>
      </c>
      <c r="G93" s="147">
        <v>0.94926459870932156</v>
      </c>
      <c r="H93" s="148">
        <v>0.11691137629578734</v>
      </c>
      <c r="I93" s="147">
        <v>1.0749369578871104</v>
      </c>
    </row>
    <row r="94" spans="1:9">
      <c r="A94" s="81">
        <v>91</v>
      </c>
      <c r="B94" s="145" t="s">
        <v>515</v>
      </c>
      <c r="C94" s="146">
        <v>107</v>
      </c>
      <c r="D94" s="147">
        <v>1.2553107270088402</v>
      </c>
      <c r="E94" s="148">
        <v>0.12043383726022393</v>
      </c>
      <c r="F94" s="148">
        <v>0.18357289719626166</v>
      </c>
      <c r="G94" s="147">
        <v>1.1429314765870269</v>
      </c>
      <c r="H94" s="148">
        <v>8.8617464210213229E-2</v>
      </c>
      <c r="I94" s="147">
        <v>1.2540633945729323</v>
      </c>
    </row>
    <row r="95" spans="1:9">
      <c r="A95" s="81">
        <v>92</v>
      </c>
      <c r="B95" s="145" t="s">
        <v>516</v>
      </c>
      <c r="C95" s="146">
        <v>12</v>
      </c>
      <c r="D95" s="147">
        <v>1.4363812288340592</v>
      </c>
      <c r="E95" s="148">
        <v>0.18612055086959958</v>
      </c>
      <c r="F95" s="148">
        <v>0.10984166666666666</v>
      </c>
      <c r="G95" s="147">
        <v>1.2322294472279356</v>
      </c>
      <c r="H95" s="148">
        <v>2.6661469494730115E-2</v>
      </c>
      <c r="I95" s="147">
        <v>1.2659823983216536</v>
      </c>
    </row>
    <row r="96" spans="1:9">
      <c r="A96" s="81">
        <v>93</v>
      </c>
      <c r="B96" s="145" t="s">
        <v>517</v>
      </c>
      <c r="C96" s="146">
        <v>112</v>
      </c>
      <c r="D96" s="147">
        <v>1.3919229081580995</v>
      </c>
      <c r="E96" s="148">
        <v>0.19973493461244435</v>
      </c>
      <c r="F96" s="148">
        <v>0.16545535714285717</v>
      </c>
      <c r="G96" s="147">
        <v>1.1930552492222499</v>
      </c>
      <c r="H96" s="148">
        <v>8.0435864636150933E-2</v>
      </c>
      <c r="I96" s="147">
        <v>1.2974138543911209</v>
      </c>
    </row>
    <row r="97" spans="1:9">
      <c r="A97" s="81">
        <v>94</v>
      </c>
      <c r="B97" s="145" t="s">
        <v>518</v>
      </c>
      <c r="C97" s="146">
        <v>41</v>
      </c>
      <c r="D97" s="147">
        <v>1.4816016392043032</v>
      </c>
      <c r="E97" s="148">
        <v>0.21203215838461076</v>
      </c>
      <c r="F97" s="148">
        <v>0.18239756097560977</v>
      </c>
      <c r="G97" s="147">
        <v>1.2627021137373655</v>
      </c>
      <c r="H97" s="148">
        <v>0.10236514396047813</v>
      </c>
      <c r="I97" s="147">
        <v>1.4066990661532088</v>
      </c>
    </row>
    <row r="98" spans="1:9">
      <c r="A98" s="81">
        <v>95</v>
      </c>
      <c r="B98" s="145" t="s">
        <v>519</v>
      </c>
      <c r="C98" s="146">
        <v>43</v>
      </c>
      <c r="D98" s="147">
        <v>1.5539144540254413</v>
      </c>
      <c r="E98" s="148">
        <v>7.5995322875858386E-4</v>
      </c>
      <c r="F98" s="148">
        <v>0.24972558139534878</v>
      </c>
      <c r="G98" s="147">
        <v>1.553028958120235</v>
      </c>
      <c r="H98" s="148">
        <v>5.6346647911295178E-2</v>
      </c>
      <c r="I98" s="147">
        <v>1.6457621378472547</v>
      </c>
    </row>
    <row r="99" spans="1:9">
      <c r="A99" s="81">
        <v>96</v>
      </c>
      <c r="B99" s="145" t="s">
        <v>520</v>
      </c>
      <c r="C99" s="146">
        <v>299</v>
      </c>
      <c r="D99" s="147">
        <v>1.4904778973222943</v>
      </c>
      <c r="E99" s="148">
        <v>9.5956480709706565E-3</v>
      </c>
      <c r="F99" s="148">
        <v>0.17361070234113721</v>
      </c>
      <c r="G99" s="147">
        <v>1.4787517789046016</v>
      </c>
      <c r="H99" s="148">
        <v>8.4857396841802449E-2</v>
      </c>
      <c r="I99" s="147">
        <v>1.6158703286256852</v>
      </c>
    </row>
    <row r="100" spans="1:9">
      <c r="A100" s="81">
        <v>97</v>
      </c>
      <c r="B100" s="145" t="s">
        <v>521</v>
      </c>
      <c r="C100" s="146">
        <v>3</v>
      </c>
      <c r="D100" s="147">
        <v>0.77213352685050796</v>
      </c>
      <c r="E100" s="148">
        <v>6.4415871424766027E-2</v>
      </c>
      <c r="F100" s="148">
        <v>0.21083333333333332</v>
      </c>
      <c r="G100" s="147">
        <v>0.73478103679263551</v>
      </c>
      <c r="H100" s="148">
        <v>6.6035630367926354E-2</v>
      </c>
      <c r="I100" s="147">
        <v>0.7867334779399513</v>
      </c>
    </row>
    <row r="101" spans="1:9">
      <c r="A101" s="81">
        <v>98</v>
      </c>
      <c r="B101" s="145" t="s">
        <v>522</v>
      </c>
      <c r="C101" s="146">
        <v>5</v>
      </c>
      <c r="D101" s="147">
        <v>1.2985002418964686</v>
      </c>
      <c r="E101" s="148">
        <v>8.669906201404147E-2</v>
      </c>
      <c r="F101" s="148">
        <v>0.26704</v>
      </c>
      <c r="G101" s="147">
        <v>1.2209148346662602</v>
      </c>
      <c r="H101" s="148">
        <v>3.9752971471535774E-2</v>
      </c>
      <c r="I101" s="147">
        <v>1.2714591124923946</v>
      </c>
    </row>
    <row r="102" spans="1:9">
      <c r="A102" s="81">
        <v>99</v>
      </c>
      <c r="B102" s="145" t="s">
        <v>523</v>
      </c>
      <c r="C102" s="146">
        <v>9</v>
      </c>
      <c r="D102" s="147">
        <v>1.1763425253991293</v>
      </c>
      <c r="E102" s="148">
        <v>3.2481149968085758E-2</v>
      </c>
      <c r="F102" s="148">
        <v>9.8166666666666666E-2</v>
      </c>
      <c r="G102" s="147">
        <v>1.1428650550630677</v>
      </c>
      <c r="H102" s="148">
        <v>0.13951730352512692</v>
      </c>
      <c r="I102" s="147">
        <v>1.3281673876128204</v>
      </c>
    </row>
    <row r="103" spans="1:9">
      <c r="A103" s="81">
        <v>100</v>
      </c>
      <c r="B103" s="145" t="s">
        <v>544</v>
      </c>
      <c r="C103" s="146">
        <v>16</v>
      </c>
      <c r="D103" s="147">
        <v>1.3631796360388522</v>
      </c>
      <c r="E103" s="148">
        <v>0.44642454046159252</v>
      </c>
      <c r="F103" s="148">
        <v>0.12369374999999999</v>
      </c>
      <c r="G103" s="147">
        <v>0.97985560238971192</v>
      </c>
      <c r="H103" s="148">
        <v>9.1243745396576564E-2</v>
      </c>
      <c r="I103" s="147">
        <v>1.0782380835632497</v>
      </c>
    </row>
    <row r="104" spans="1:9">
      <c r="A104" s="81">
        <v>101</v>
      </c>
      <c r="B104" s="145" t="s">
        <v>524</v>
      </c>
      <c r="C104" s="146">
        <v>9</v>
      </c>
      <c r="D104" s="147">
        <v>1.2051886792452828</v>
      </c>
      <c r="E104" s="148">
        <v>5.9932599100774066E-2</v>
      </c>
      <c r="F104" s="148">
        <v>0.10054444444444446</v>
      </c>
      <c r="G104" s="147">
        <v>1.143543986105906</v>
      </c>
      <c r="H104" s="148">
        <v>5.1881812994307823E-2</v>
      </c>
      <c r="I104" s="147">
        <v>1.2061196607960867</v>
      </c>
    </row>
    <row r="105" spans="1:9">
      <c r="A105" s="81">
        <v>102</v>
      </c>
      <c r="B105" s="145" t="s">
        <v>525</v>
      </c>
      <c r="C105" s="146">
        <v>49</v>
      </c>
      <c r="D105" s="147">
        <v>1.1457871820334584</v>
      </c>
      <c r="E105" s="148">
        <v>0.82227390094051922</v>
      </c>
      <c r="F105" s="148">
        <v>0.16216122448979595</v>
      </c>
      <c r="G105" s="147">
        <v>0.67840891872233222</v>
      </c>
      <c r="H105" s="148">
        <v>7.5335658884570514E-2</v>
      </c>
      <c r="I105" s="147">
        <v>0.73368128147340739</v>
      </c>
    </row>
    <row r="106" spans="1:9">
      <c r="A106" s="81">
        <v>103</v>
      </c>
      <c r="B106" s="145" t="s">
        <v>526</v>
      </c>
      <c r="C106" s="146">
        <v>73</v>
      </c>
      <c r="D106" s="147">
        <v>1.2764449756680614</v>
      </c>
      <c r="E106" s="148">
        <v>0.50539793060888571</v>
      </c>
      <c r="F106" s="148">
        <v>0.33523287671232871</v>
      </c>
      <c r="G106" s="147">
        <v>0.95544296140445628</v>
      </c>
      <c r="H106" s="148">
        <v>0.12361778748299677</v>
      </c>
      <c r="I106" s="147">
        <v>1.0902126352614889</v>
      </c>
    </row>
    <row r="107" spans="1:9">
      <c r="A107" s="81">
        <v>104</v>
      </c>
      <c r="B107" s="145" t="s">
        <v>527</v>
      </c>
      <c r="C107" s="146">
        <v>112</v>
      </c>
      <c r="D107" s="147">
        <v>1.3417997097242382</v>
      </c>
      <c r="E107" s="148">
        <v>4.6593978554422107E-2</v>
      </c>
      <c r="F107" s="148">
        <v>0.19901517857142856</v>
      </c>
      <c r="G107" s="147">
        <v>1.2935240101234209</v>
      </c>
      <c r="H107" s="148">
        <v>3.7073065185875526E-2</v>
      </c>
      <c r="I107" s="147">
        <v>1.3433251925527581</v>
      </c>
    </row>
    <row r="108" spans="1:9">
      <c r="A108" s="81">
        <v>105</v>
      </c>
      <c r="B108" s="145" t="s">
        <v>528</v>
      </c>
      <c r="C108" s="146">
        <v>231</v>
      </c>
      <c r="D108" s="147">
        <v>1.1699259032923384</v>
      </c>
      <c r="E108" s="148">
        <v>1.2419059012352812E-6</v>
      </c>
      <c r="F108" s="148">
        <v>0.32618398268398291</v>
      </c>
      <c r="G108" s="147">
        <v>1.1699249242803398</v>
      </c>
      <c r="H108" s="148">
        <v>5.3399961244959396E-2</v>
      </c>
      <c r="I108" s="147">
        <v>1.2359231738665613</v>
      </c>
    </row>
    <row r="109" spans="1:9">
      <c r="A109" s="81">
        <v>106</v>
      </c>
      <c r="B109" s="145" t="s">
        <v>529</v>
      </c>
      <c r="C109" s="146">
        <v>19</v>
      </c>
      <c r="D109" s="147">
        <v>1.3844080447854032</v>
      </c>
      <c r="E109" s="148">
        <v>0.54437371253531497</v>
      </c>
      <c r="F109" s="148">
        <v>0.26935789473684207</v>
      </c>
      <c r="G109" s="147">
        <v>0.99046010837403109</v>
      </c>
      <c r="H109" s="148">
        <v>1.421117041107367E-2</v>
      </c>
      <c r="I109" s="147">
        <v>1.0047386201231887</v>
      </c>
    </row>
    <row r="110" spans="1:9">
      <c r="A110" s="81">
        <v>107</v>
      </c>
      <c r="B110" s="145" t="s">
        <v>530</v>
      </c>
      <c r="C110" s="146">
        <v>204</v>
      </c>
      <c r="D110" s="147">
        <v>1.3297123064457244</v>
      </c>
      <c r="E110" s="148">
        <v>0.2657356862791499</v>
      </c>
      <c r="F110" s="148">
        <v>0.15595294117647057</v>
      </c>
      <c r="G110" s="147">
        <v>1.0861058957876677</v>
      </c>
      <c r="H110" s="148">
        <v>0.10722819412937808</v>
      </c>
      <c r="I110" s="147">
        <v>1.2165548784647253</v>
      </c>
    </row>
    <row r="111" spans="1:9">
      <c r="A111" s="81">
        <v>108</v>
      </c>
      <c r="B111" s="145" t="s">
        <v>531</v>
      </c>
      <c r="C111" s="146">
        <v>58</v>
      </c>
      <c r="D111" s="147">
        <v>1.5498872865392337</v>
      </c>
      <c r="E111" s="148">
        <v>0.20092450406355927</v>
      </c>
      <c r="F111" s="148">
        <v>0.11581551724137933</v>
      </c>
      <c r="G111" s="147">
        <v>1.3160799810004458</v>
      </c>
      <c r="H111" s="148">
        <v>7.0626743773485573E-2</v>
      </c>
      <c r="I111" s="147">
        <v>1.4160940958684958</v>
      </c>
    </row>
    <row r="112" spans="1:9">
      <c r="A112" s="81">
        <v>109</v>
      </c>
      <c r="B112" s="145" t="s">
        <v>532</v>
      </c>
      <c r="C112" s="146">
        <v>21</v>
      </c>
      <c r="D112" s="147">
        <v>1.5095145944202548</v>
      </c>
      <c r="E112" s="148">
        <v>6.4740808258949775E-2</v>
      </c>
      <c r="F112" s="148">
        <v>0.17487142857142862</v>
      </c>
      <c r="G112" s="147">
        <v>1.4329662663777483</v>
      </c>
      <c r="H112" s="148">
        <v>0.1038354572189629</v>
      </c>
      <c r="I112" s="147">
        <v>1.5989990654292934</v>
      </c>
    </row>
    <row r="113" spans="1:9">
      <c r="A113" s="81">
        <v>110</v>
      </c>
      <c r="B113" s="145" t="s">
        <v>533</v>
      </c>
      <c r="C113" s="146">
        <v>3</v>
      </c>
      <c r="D113" s="147">
        <v>1.5529753265602324</v>
      </c>
      <c r="E113" s="148">
        <v>9.0951819080974609E-3</v>
      </c>
      <c r="F113" s="148">
        <v>0.14803333333333335</v>
      </c>
      <c r="G113" s="147">
        <v>1.5410341735725483</v>
      </c>
      <c r="H113" s="148">
        <v>9.9130783197355687E-2</v>
      </c>
      <c r="I113" s="147">
        <v>1.7106080936386869</v>
      </c>
    </row>
    <row r="114" spans="1:9">
      <c r="A114" s="81">
        <v>111</v>
      </c>
      <c r="B114" s="145" t="s">
        <v>534</v>
      </c>
      <c r="C114" s="146">
        <v>16</v>
      </c>
      <c r="D114" s="147">
        <v>1.1918052919504298</v>
      </c>
      <c r="E114" s="148">
        <v>5.8246989692135764E-2</v>
      </c>
      <c r="F114" s="148">
        <v>0.14005624999999999</v>
      </c>
      <c r="G114" s="147">
        <v>1.134956312297406</v>
      </c>
      <c r="H114" s="148">
        <v>5.3133679221064982E-2</v>
      </c>
      <c r="I114" s="147">
        <v>1.1986447161450833</v>
      </c>
    </row>
    <row r="115" spans="1:9">
      <c r="A115" s="81">
        <v>112</v>
      </c>
      <c r="B115" s="145" t="s">
        <v>535</v>
      </c>
      <c r="C115" s="146">
        <v>42</v>
      </c>
      <c r="D115" s="147">
        <v>1.4699793751432286</v>
      </c>
      <c r="E115" s="148">
        <v>0.2688955767465373</v>
      </c>
      <c r="F115" s="148">
        <v>0.21992857142857147</v>
      </c>
      <c r="G115" s="147">
        <v>1.2151022525089465</v>
      </c>
      <c r="H115" s="148">
        <v>0.1211297968469143</v>
      </c>
      <c r="I115" s="147">
        <v>1.3825730445173534</v>
      </c>
    </row>
    <row r="116" spans="1:9">
      <c r="A116" s="81">
        <v>113</v>
      </c>
      <c r="B116" s="145" t="s">
        <v>536</v>
      </c>
      <c r="C116" s="146">
        <v>12</v>
      </c>
      <c r="D116" s="147">
        <v>1.411756168359942</v>
      </c>
      <c r="E116" s="148">
        <v>1.4919648444403995E-2</v>
      </c>
      <c r="F116" s="148">
        <v>0.13006666666666666</v>
      </c>
      <c r="G116" s="147">
        <v>1.3936676176754632</v>
      </c>
      <c r="H116" s="148">
        <v>7.9329411066364111E-2</v>
      </c>
      <c r="I116" s="147">
        <v>1.5137527302677007</v>
      </c>
    </row>
    <row r="117" spans="1:9">
      <c r="A117" s="81">
        <v>114</v>
      </c>
      <c r="B117" s="145" t="s">
        <v>537</v>
      </c>
      <c r="C117" s="146">
        <v>1</v>
      </c>
      <c r="D117" s="147">
        <v>1.3222060957910016</v>
      </c>
      <c r="E117" s="148">
        <v>5.1423324150596875E-3</v>
      </c>
      <c r="F117" s="148">
        <v>0.19450000000000001</v>
      </c>
      <c r="G117" s="147">
        <v>1.3167519134848971</v>
      </c>
      <c r="H117" s="148">
        <v>0.42798654675139236</v>
      </c>
      <c r="I117" s="147">
        <v>2.3019596934420568</v>
      </c>
    </row>
    <row r="118" spans="1:9">
      <c r="A118" s="81">
        <v>115</v>
      </c>
      <c r="B118" s="145" t="s">
        <v>538</v>
      </c>
      <c r="C118" s="146">
        <v>33</v>
      </c>
      <c r="D118" s="147">
        <v>1.4428024805383297</v>
      </c>
      <c r="E118" s="148">
        <v>1.7725712019844204E-2</v>
      </c>
      <c r="F118" s="148">
        <v>0.2370909090909091</v>
      </c>
      <c r="G118" s="147">
        <v>1.423551639619546</v>
      </c>
      <c r="H118" s="148">
        <v>0.1275298277911435</v>
      </c>
      <c r="I118" s="147">
        <v>1.6316335904246464</v>
      </c>
    </row>
    <row r="119" spans="1:9">
      <c r="A119" s="81">
        <v>116</v>
      </c>
      <c r="B119" s="145" t="s">
        <v>539</v>
      </c>
      <c r="C119" s="146">
        <v>80</v>
      </c>
      <c r="D119" s="147">
        <v>1.6362375138734737</v>
      </c>
      <c r="E119" s="148">
        <v>3.1784716440785246E-2</v>
      </c>
      <c r="F119" s="148">
        <v>0.20451624999999996</v>
      </c>
      <c r="G119" s="147">
        <v>1.5958867534434427</v>
      </c>
      <c r="H119" s="148">
        <v>6.0773707496399217E-2</v>
      </c>
      <c r="I119" s="147">
        <v>1.6991504243236721</v>
      </c>
    </row>
    <row r="120" spans="1:9">
      <c r="A120" s="81">
        <v>117</v>
      </c>
      <c r="B120" s="145" t="s">
        <v>540</v>
      </c>
      <c r="C120" s="146">
        <v>24</v>
      </c>
      <c r="D120" s="147">
        <v>1.4086058225902842</v>
      </c>
      <c r="E120" s="148">
        <v>4.4462901516898995E-2</v>
      </c>
      <c r="F120" s="148">
        <v>0.22305416666666664</v>
      </c>
      <c r="G120" s="147">
        <v>1.3615700238417405</v>
      </c>
      <c r="H120" s="148">
        <v>5.273037186753865E-2</v>
      </c>
      <c r="I120" s="147">
        <v>1.4373626931606274</v>
      </c>
    </row>
    <row r="121" spans="1:9">
      <c r="A121" s="81">
        <v>118</v>
      </c>
      <c r="B121" s="145" t="s">
        <v>541</v>
      </c>
      <c r="C121" s="146">
        <v>27</v>
      </c>
      <c r="D121" s="147">
        <v>1.3154571843251091</v>
      </c>
      <c r="E121" s="148">
        <v>9.754972317779062E-2</v>
      </c>
      <c r="F121" s="148">
        <v>9.9018518518518547E-2</v>
      </c>
      <c r="G121" s="147">
        <v>1.2091816147406536</v>
      </c>
      <c r="H121" s="148">
        <v>4.7334861201327919E-2</v>
      </c>
      <c r="I121" s="147">
        <v>1.2692619531197009</v>
      </c>
    </row>
    <row r="122" spans="1:9">
      <c r="A122" s="81">
        <v>119</v>
      </c>
      <c r="B122" s="145" t="s">
        <v>542</v>
      </c>
      <c r="C122" s="146">
        <v>9</v>
      </c>
      <c r="D122" s="147">
        <v>1.6775520077406874</v>
      </c>
      <c r="E122" s="148">
        <v>1.053174482324145E-2</v>
      </c>
      <c r="F122" s="148">
        <v>8.9377777777777792E-2</v>
      </c>
      <c r="G122" s="147">
        <v>1.6616163741477943</v>
      </c>
      <c r="H122" s="148">
        <v>5.0482873672489728E-2</v>
      </c>
      <c r="I122" s="147">
        <v>1.7499593509961238</v>
      </c>
    </row>
    <row r="123" spans="1:9">
      <c r="A123" s="81">
        <v>120</v>
      </c>
      <c r="B123" s="145" t="s">
        <v>543</v>
      </c>
      <c r="C123" s="146">
        <v>4</v>
      </c>
      <c r="D123" s="147">
        <v>1.1382438316400583</v>
      </c>
      <c r="E123" s="148">
        <v>4.4944607767344984E-2</v>
      </c>
      <c r="F123" s="148">
        <v>9.2549999999999993E-2</v>
      </c>
      <c r="G123" s="147">
        <v>1.0936397515240852</v>
      </c>
      <c r="H123" s="148">
        <v>0.12739149575772546</v>
      </c>
      <c r="I123" s="147">
        <v>1.2532994420834143</v>
      </c>
    </row>
    <row r="124" spans="1:9">
      <c r="A124" s="81">
        <v>121</v>
      </c>
      <c r="B124" s="145" t="s">
        <v>545</v>
      </c>
      <c r="C124" s="146">
        <v>11</v>
      </c>
      <c r="D124" s="147">
        <v>1.3659288824383167</v>
      </c>
      <c r="E124" s="148">
        <v>7.3163028299688709E-2</v>
      </c>
      <c r="F124" s="148">
        <v>0.22049090909090907</v>
      </c>
      <c r="G124" s="147">
        <v>1.2922313205246112</v>
      </c>
      <c r="H124" s="148">
        <v>0.12915276689394484</v>
      </c>
      <c r="I124" s="147">
        <v>1.4838783099942838</v>
      </c>
    </row>
    <row r="125" spans="1:9">
      <c r="A125" s="81">
        <v>122</v>
      </c>
      <c r="B125" s="145" t="s">
        <v>546</v>
      </c>
      <c r="C125" s="146">
        <v>1</v>
      </c>
      <c r="D125" s="147">
        <v>0.94049346879535567</v>
      </c>
      <c r="E125" s="148">
        <v>0.24228226012521795</v>
      </c>
      <c r="F125" s="148">
        <v>0</v>
      </c>
      <c r="G125" s="147">
        <v>0.75706906472330782</v>
      </c>
      <c r="H125" s="148">
        <v>0.12412573486205618</v>
      </c>
      <c r="I125" s="147">
        <v>0.86435815602377009</v>
      </c>
    </row>
    <row r="126" spans="1:9">
      <c r="A126" s="81">
        <v>123</v>
      </c>
      <c r="B126" s="145" t="s">
        <v>547</v>
      </c>
      <c r="C126" s="146">
        <v>1</v>
      </c>
      <c r="D126" s="147">
        <v>0.29753265602322204</v>
      </c>
      <c r="E126" s="148">
        <v>4.9250886650549282E-2</v>
      </c>
      <c r="F126" s="148">
        <v>0.19769999999999999</v>
      </c>
      <c r="G126" s="147">
        <v>0.28622285022364047</v>
      </c>
      <c r="H126" s="148">
        <v>2.7050299080628532E-2</v>
      </c>
      <c r="I126" s="147">
        <v>0.29418052130873701</v>
      </c>
    </row>
    <row r="127" spans="1:9">
      <c r="A127" s="81">
        <v>124</v>
      </c>
      <c r="B127" s="145" t="s">
        <v>828</v>
      </c>
      <c r="C127" s="146">
        <v>3</v>
      </c>
      <c r="D127" s="147">
        <v>0.73730043541364298</v>
      </c>
      <c r="E127" s="148">
        <v>3.5276485008726086E-3</v>
      </c>
      <c r="F127" s="148">
        <v>0.28313333333333335</v>
      </c>
      <c r="G127" s="147">
        <v>0.73544061375379144</v>
      </c>
      <c r="H127" s="148">
        <v>9.7833412067992193E-3</v>
      </c>
      <c r="I127" s="147">
        <v>0.74270676747661402</v>
      </c>
    </row>
    <row r="128" spans="1:9">
      <c r="A128" s="81">
        <v>125</v>
      </c>
      <c r="B128" s="145" t="s">
        <v>548</v>
      </c>
      <c r="C128" s="146">
        <v>7</v>
      </c>
      <c r="D128" s="147">
        <v>0.91204644412191593</v>
      </c>
      <c r="E128" s="148">
        <v>2.0313244322558677</v>
      </c>
      <c r="F128" s="148">
        <v>0.23960000000000001</v>
      </c>
      <c r="G128" s="147">
        <v>0.35842159824068071</v>
      </c>
      <c r="H128" s="148">
        <v>1.5584150075311621E-2</v>
      </c>
      <c r="I128" s="147">
        <v>0.36409572059216777</v>
      </c>
    </row>
    <row r="129" spans="1:9">
      <c r="A129" s="81">
        <v>126</v>
      </c>
      <c r="B129" s="145" t="s">
        <v>549</v>
      </c>
      <c r="C129" s="146">
        <v>6</v>
      </c>
      <c r="D129" s="147">
        <v>1.1734397677793904</v>
      </c>
      <c r="E129" s="148">
        <v>2.7077698675090827</v>
      </c>
      <c r="F129" s="148">
        <v>0.22113333333333332</v>
      </c>
      <c r="G129" s="147">
        <v>0.37743419232963926</v>
      </c>
      <c r="H129" s="148">
        <v>0.13702338836746464</v>
      </c>
      <c r="I129" s="147">
        <v>0.43736317675588959</v>
      </c>
    </row>
    <row r="130" spans="1:9">
      <c r="A130" s="81">
        <v>127</v>
      </c>
      <c r="B130" s="145" t="s">
        <v>550</v>
      </c>
      <c r="C130" s="146">
        <v>18</v>
      </c>
      <c r="D130" s="147">
        <v>0.96940009675858752</v>
      </c>
      <c r="E130" s="148">
        <v>1.2559013913491774</v>
      </c>
      <c r="F130" s="148">
        <v>0.20620000000000002</v>
      </c>
      <c r="G130" s="147">
        <v>0.48544410689886619</v>
      </c>
      <c r="H130" s="148">
        <v>3.0605143066288427E-2</v>
      </c>
      <c r="I130" s="147">
        <v>0.50077025210797199</v>
      </c>
    </row>
    <row r="131" spans="1:9">
      <c r="A131" s="81">
        <v>128</v>
      </c>
      <c r="B131" s="145" t="s">
        <v>551</v>
      </c>
      <c r="C131" s="146">
        <v>6</v>
      </c>
      <c r="D131" s="147">
        <v>0.47677793904208998</v>
      </c>
      <c r="E131" s="148">
        <v>1.4152645236049612</v>
      </c>
      <c r="F131" s="148">
        <v>0.29793333333333333</v>
      </c>
      <c r="G131" s="147">
        <v>0.23915305797631645</v>
      </c>
      <c r="H131" s="148">
        <v>1.8153473719163003E-2</v>
      </c>
      <c r="I131" s="147">
        <v>0.24357478646098671</v>
      </c>
    </row>
    <row r="132" spans="1:9">
      <c r="A132" s="81">
        <v>129</v>
      </c>
      <c r="B132" s="145" t="s">
        <v>552</v>
      </c>
      <c r="C132" s="146">
        <v>145</v>
      </c>
      <c r="D132" s="147">
        <v>1.967860458426496</v>
      </c>
      <c r="E132" s="148">
        <v>0.64653044062282727</v>
      </c>
      <c r="F132" s="148">
        <v>0.14862137931034491</v>
      </c>
      <c r="G132" s="147">
        <v>1.2692252991197264</v>
      </c>
      <c r="H132" s="148">
        <v>0.10193630335581917</v>
      </c>
      <c r="I132" s="147">
        <v>1.4132909545976251</v>
      </c>
    </row>
    <row r="133" spans="1:9">
      <c r="A133" s="81">
        <v>130</v>
      </c>
      <c r="B133" s="145" t="s">
        <v>829</v>
      </c>
      <c r="C133" s="146">
        <v>4</v>
      </c>
      <c r="D133" s="147">
        <v>0.48040638606676345</v>
      </c>
      <c r="E133" s="148">
        <v>2.381528476371008E-2</v>
      </c>
      <c r="F133" s="148">
        <v>6.3149999999999998E-2</v>
      </c>
      <c r="G133" s="147">
        <v>0.46992179661040867</v>
      </c>
      <c r="H133" s="148">
        <v>5.6784137302913332E-2</v>
      </c>
      <c r="I133" s="147">
        <v>0.49821235540577824</v>
      </c>
    </row>
    <row r="134" spans="1:9">
      <c r="A134" s="81">
        <v>131</v>
      </c>
      <c r="B134" s="145" t="s">
        <v>553</v>
      </c>
      <c r="C134" s="146">
        <v>27</v>
      </c>
      <c r="D134" s="147">
        <v>1.2393247269116188</v>
      </c>
      <c r="E134" s="148">
        <v>0.91255642903056944</v>
      </c>
      <c r="F134" s="148">
        <v>0.12545925925925927</v>
      </c>
      <c r="G134" s="147">
        <v>0.68925362205969343</v>
      </c>
      <c r="H134" s="148">
        <v>5.4190682334250943E-2</v>
      </c>
      <c r="I134" s="147">
        <v>0.72874480002033248</v>
      </c>
    </row>
    <row r="135" spans="1:9">
      <c r="A135" s="81">
        <v>132</v>
      </c>
      <c r="B135" s="145" t="s">
        <v>554</v>
      </c>
      <c r="C135" s="146">
        <v>22</v>
      </c>
      <c r="D135" s="147">
        <v>1.1784470246734398</v>
      </c>
      <c r="E135" s="148">
        <v>0.83992793644348474</v>
      </c>
      <c r="F135" s="148">
        <v>0.12742727272727269</v>
      </c>
      <c r="G135" s="147">
        <v>0.68004399665644488</v>
      </c>
      <c r="H135" s="148">
        <v>7.6610371169287053E-2</v>
      </c>
      <c r="I135" s="147">
        <v>0.73646484151829139</v>
      </c>
    </row>
    <row r="136" spans="1:9">
      <c r="A136" s="81">
        <v>133</v>
      </c>
      <c r="B136" s="145" t="s">
        <v>555</v>
      </c>
      <c r="C136" s="146">
        <v>51</v>
      </c>
      <c r="D136" s="147">
        <v>1.3942650923783</v>
      </c>
      <c r="E136" s="148">
        <v>0.76318860824088053</v>
      </c>
      <c r="F136" s="148">
        <v>0.15697843137254908</v>
      </c>
      <c r="G136" s="147">
        <v>0.84841078170378681</v>
      </c>
      <c r="H136" s="148">
        <v>7.5529839793533254E-2</v>
      </c>
      <c r="I136" s="147">
        <v>0.91772651863020305</v>
      </c>
    </row>
    <row r="137" spans="1:9">
      <c r="A137" s="81">
        <v>134</v>
      </c>
      <c r="B137" s="145" t="s">
        <v>556</v>
      </c>
      <c r="C137" s="146">
        <v>2</v>
      </c>
      <c r="D137" s="147">
        <v>2.1088534107402035</v>
      </c>
      <c r="E137" s="148">
        <v>0.16990285779336742</v>
      </c>
      <c r="F137" s="148">
        <v>0.34815000000000002</v>
      </c>
      <c r="G137" s="147">
        <v>1.8985830965466168</v>
      </c>
      <c r="H137" s="148">
        <v>3.6574289060730299E-2</v>
      </c>
      <c r="I137" s="147">
        <v>1.9706585313107714</v>
      </c>
    </row>
    <row r="138" spans="1:9">
      <c r="A138" s="81">
        <v>135</v>
      </c>
      <c r="B138" s="145" t="s">
        <v>557</v>
      </c>
      <c r="C138" s="146">
        <v>27</v>
      </c>
      <c r="D138" s="147">
        <v>1.2892390628239683</v>
      </c>
      <c r="E138" s="148">
        <v>7.2913303620684239E-2</v>
      </c>
      <c r="F138" s="148">
        <v>0.13991851851851853</v>
      </c>
      <c r="G138" s="147">
        <v>1.2131601151741696</v>
      </c>
      <c r="H138" s="148">
        <v>5.6452201148412665E-2</v>
      </c>
      <c r="I138" s="147">
        <v>1.2857431458700166</v>
      </c>
    </row>
    <row r="139" spans="1:9">
      <c r="A139" s="81">
        <v>136</v>
      </c>
      <c r="B139" s="145" t="s">
        <v>558</v>
      </c>
      <c r="C139" s="146">
        <v>16</v>
      </c>
      <c r="D139" s="147">
        <v>1.0330188679245285</v>
      </c>
      <c r="E139" s="148">
        <v>0.1009929595642272</v>
      </c>
      <c r="F139" s="148">
        <v>7.6268749999999996E-2</v>
      </c>
      <c r="G139" s="147">
        <v>0.94487147471693411</v>
      </c>
      <c r="H139" s="148">
        <v>4.8994804036934202E-2</v>
      </c>
      <c r="I139" s="147">
        <v>0.99355027577959742</v>
      </c>
    </row>
    <row r="140" spans="1:9">
      <c r="A140" s="81">
        <v>137</v>
      </c>
      <c r="B140" s="145" t="s">
        <v>559</v>
      </c>
      <c r="C140" s="146">
        <v>16</v>
      </c>
      <c r="D140" s="147">
        <v>0.93871956136107082</v>
      </c>
      <c r="E140" s="148">
        <v>0.7289979918868833</v>
      </c>
      <c r="F140" s="148">
        <v>0.15011875</v>
      </c>
      <c r="G140" s="147">
        <v>0.57961332816590916</v>
      </c>
      <c r="H140" s="148">
        <v>8.5235253730252689E-2</v>
      </c>
      <c r="I140" s="147">
        <v>0.63362009798636443</v>
      </c>
    </row>
    <row r="141" spans="1:9">
      <c r="A141" s="81">
        <v>138</v>
      </c>
      <c r="B141" s="145" t="s">
        <v>560</v>
      </c>
      <c r="C141" s="146">
        <v>5</v>
      </c>
      <c r="D141" s="147">
        <v>0.95500725689404942</v>
      </c>
      <c r="E141" s="148">
        <v>0.10153850437414723</v>
      </c>
      <c r="F141" s="148">
        <v>0.17042000000000002</v>
      </c>
      <c r="G141" s="147">
        <v>0.88081261210816231</v>
      </c>
      <c r="H141" s="148">
        <v>0.23695788915619981</v>
      </c>
      <c r="I141" s="147">
        <v>1.1543433836621773</v>
      </c>
    </row>
    <row r="142" spans="1:9">
      <c r="A142" s="81">
        <v>139</v>
      </c>
      <c r="B142" s="145" t="s">
        <v>561</v>
      </c>
      <c r="C142" s="146">
        <v>22</v>
      </c>
      <c r="D142" s="147">
        <v>1.1171746492501209</v>
      </c>
      <c r="E142" s="148">
        <v>0.11614283873563359</v>
      </c>
      <c r="F142" s="148">
        <v>0.18420909090909091</v>
      </c>
      <c r="G142" s="147">
        <v>1.0204854191847041</v>
      </c>
      <c r="H142" s="148">
        <v>0.16088027945789338</v>
      </c>
      <c r="I142" s="147">
        <v>1.2161380482458781</v>
      </c>
    </row>
    <row r="143" spans="1:9">
      <c r="A143" s="81">
        <v>140</v>
      </c>
      <c r="B143" s="145" t="s">
        <v>562</v>
      </c>
      <c r="C143" s="146">
        <v>40</v>
      </c>
      <c r="D143" s="147">
        <v>1.0247234873129474</v>
      </c>
      <c r="E143" s="148">
        <v>1.3406237641645649E-3</v>
      </c>
      <c r="F143" s="148">
        <v>0.21459250000000005</v>
      </c>
      <c r="G143" s="147">
        <v>1.0236456539945282</v>
      </c>
      <c r="H143" s="148">
        <v>6.7196837103953647E-2</v>
      </c>
      <c r="I143" s="147">
        <v>1.0973865599002108</v>
      </c>
    </row>
    <row r="144" spans="1:9">
      <c r="A144" s="81">
        <v>141</v>
      </c>
      <c r="B144" s="145" t="s">
        <v>563</v>
      </c>
      <c r="C144" s="146">
        <v>31</v>
      </c>
      <c r="D144" s="147">
        <v>1.4207184325108855</v>
      </c>
      <c r="E144" s="148">
        <v>0.30655082970844894</v>
      </c>
      <c r="F144" s="148">
        <v>0.20254838709677417</v>
      </c>
      <c r="G144" s="147">
        <v>1.1416349712438596</v>
      </c>
      <c r="H144" s="148">
        <v>0.14284311319788504</v>
      </c>
      <c r="I144" s="147">
        <v>1.3318856662320906</v>
      </c>
    </row>
    <row r="145" spans="1:9">
      <c r="A145" s="81">
        <v>142</v>
      </c>
      <c r="B145" s="145" t="s">
        <v>564</v>
      </c>
      <c r="C145" s="146">
        <v>31</v>
      </c>
      <c r="D145" s="147">
        <v>1.146589259796807</v>
      </c>
      <c r="E145" s="148">
        <v>1.4706785356498743E-4</v>
      </c>
      <c r="F145" s="148">
        <v>0.14721612903225806</v>
      </c>
      <c r="G145" s="147">
        <v>1.1464454759374068</v>
      </c>
      <c r="H145" s="148">
        <v>0.1194882892726073</v>
      </c>
      <c r="I145" s="147">
        <v>1.3020218379495776</v>
      </c>
    </row>
    <row r="146" spans="1:9">
      <c r="A146" s="81">
        <v>143</v>
      </c>
      <c r="B146" s="145" t="s">
        <v>565</v>
      </c>
      <c r="C146" s="146">
        <v>124</v>
      </c>
      <c r="D146" s="147">
        <v>1.2073657474600867</v>
      </c>
      <c r="E146" s="148">
        <v>7.628261273526755E-3</v>
      </c>
      <c r="F146" s="148">
        <v>0.20151209677419352</v>
      </c>
      <c r="G146" s="147">
        <v>1.2000561164312633</v>
      </c>
      <c r="H146" s="148">
        <v>7.7663722699588711E-2</v>
      </c>
      <c r="I146" s="147">
        <v>1.3011047553542088</v>
      </c>
    </row>
    <row r="147" spans="1:9">
      <c r="A147" s="81">
        <v>144</v>
      </c>
      <c r="B147" s="145" t="s">
        <v>566</v>
      </c>
      <c r="C147" s="146">
        <v>26</v>
      </c>
      <c r="D147" s="147">
        <v>1.0433962264150947</v>
      </c>
      <c r="E147" s="148">
        <v>1.323489212581914E-2</v>
      </c>
      <c r="F147" s="148">
        <v>0.22098846153846158</v>
      </c>
      <c r="G147" s="147">
        <v>1.0327484518228025</v>
      </c>
      <c r="H147" s="148">
        <v>0.10128684192519675</v>
      </c>
      <c r="I147" s="147">
        <v>1.1491413501000984</v>
      </c>
    </row>
    <row r="148" spans="1:9">
      <c r="A148" s="81">
        <v>145</v>
      </c>
      <c r="B148" s="145" t="s">
        <v>567</v>
      </c>
      <c r="C148" s="146">
        <v>12</v>
      </c>
      <c r="D148" s="147">
        <v>1.1682279984166777</v>
      </c>
      <c r="E148" s="148">
        <v>8.5623772714433482E-3</v>
      </c>
      <c r="F148" s="148">
        <v>0.18420000000000003</v>
      </c>
      <c r="G148" s="147">
        <v>1.1601243127105703</v>
      </c>
      <c r="H148" s="148">
        <v>0.12053170951774457</v>
      </c>
      <c r="I148" s="147">
        <v>1.3191201152623906</v>
      </c>
    </row>
    <row r="149" spans="1:9">
      <c r="A149" s="81">
        <v>146</v>
      </c>
      <c r="B149" s="145" t="s">
        <v>568</v>
      </c>
      <c r="C149" s="146">
        <v>21</v>
      </c>
      <c r="D149" s="147">
        <v>0.90856313497822938</v>
      </c>
      <c r="E149" s="148">
        <v>7.6812523160140964E-2</v>
      </c>
      <c r="F149" s="148">
        <v>0.18505714285714289</v>
      </c>
      <c r="G149" s="147">
        <v>0.85503952705991482</v>
      </c>
      <c r="H149" s="148">
        <v>6.6111761879320302E-2</v>
      </c>
      <c r="I149" s="147">
        <v>0.91556943556818216</v>
      </c>
    </row>
    <row r="150" spans="1:9">
      <c r="A150" s="81">
        <v>147</v>
      </c>
      <c r="B150" s="145" t="s">
        <v>569</v>
      </c>
      <c r="C150" s="146">
        <v>14</v>
      </c>
      <c r="D150" s="147">
        <v>1.3860667634252541</v>
      </c>
      <c r="E150" s="148">
        <v>0.14310533536445422</v>
      </c>
      <c r="F150" s="148">
        <v>0.2522071428571428</v>
      </c>
      <c r="G150" s="147">
        <v>1.2520779598910066</v>
      </c>
      <c r="H150" s="148">
        <v>4.9530345785026755E-2</v>
      </c>
      <c r="I150" s="147">
        <v>1.3173255498884311</v>
      </c>
    </row>
    <row r="151" spans="1:9">
      <c r="A151" s="81">
        <v>148</v>
      </c>
      <c r="B151" s="145" t="s">
        <v>570</v>
      </c>
      <c r="C151" s="146">
        <v>2</v>
      </c>
      <c r="D151" s="147">
        <v>1.1349782293178521</v>
      </c>
      <c r="E151" s="148">
        <v>0.16193842177744341</v>
      </c>
      <c r="F151" s="148">
        <v>0.33260000000000001</v>
      </c>
      <c r="G151" s="147">
        <v>1.0242767511323243</v>
      </c>
      <c r="H151" s="148">
        <v>7.5866282600534615E-2</v>
      </c>
      <c r="I151" s="147">
        <v>1.1083642246218046</v>
      </c>
    </row>
    <row r="152" spans="1:9">
      <c r="A152" s="81">
        <v>149</v>
      </c>
      <c r="B152" s="145" t="s">
        <v>571</v>
      </c>
      <c r="C152" s="146">
        <v>3</v>
      </c>
      <c r="D152" s="147">
        <v>1.7503628447024675</v>
      </c>
      <c r="E152" s="148">
        <v>6.4644827996572429E-3</v>
      </c>
      <c r="F152" s="148">
        <v>0.14219999999999999</v>
      </c>
      <c r="G152" s="147">
        <v>1.7407102004539783</v>
      </c>
      <c r="H152" s="148">
        <v>0.10174799154370022</v>
      </c>
      <c r="I152" s="147">
        <v>1.9378862324454955</v>
      </c>
    </row>
    <row r="153" spans="1:9">
      <c r="A153" s="81">
        <v>150</v>
      </c>
      <c r="B153" s="145" t="s">
        <v>572</v>
      </c>
      <c r="C153" s="146">
        <v>61</v>
      </c>
      <c r="D153" s="147">
        <v>1.034740450236235</v>
      </c>
      <c r="E153" s="148">
        <v>0.2091730026712019</v>
      </c>
      <c r="F153" s="148">
        <v>0.21961639344262301</v>
      </c>
      <c r="G153" s="147">
        <v>0.88953675581094727</v>
      </c>
      <c r="H153" s="148">
        <v>7.5767867560185331E-2</v>
      </c>
      <c r="I153" s="147">
        <v>0.96246032202183074</v>
      </c>
    </row>
    <row r="154" spans="1:9">
      <c r="A154" s="81">
        <v>151</v>
      </c>
      <c r="B154" s="145" t="s">
        <v>830</v>
      </c>
      <c r="C154" s="146">
        <v>1</v>
      </c>
      <c r="D154" s="147" t="s">
        <v>453</v>
      </c>
      <c r="E154" s="148">
        <v>0</v>
      </c>
      <c r="F154" s="148">
        <v>0</v>
      </c>
      <c r="G154" s="147" t="s">
        <v>453</v>
      </c>
      <c r="H154" s="148">
        <v>0</v>
      </c>
      <c r="I154" s="147" t="s">
        <v>453</v>
      </c>
    </row>
    <row r="155" spans="1:9">
      <c r="A155" s="81">
        <v>152</v>
      </c>
      <c r="B155" s="145" t="s">
        <v>573</v>
      </c>
      <c r="C155" s="146">
        <v>31</v>
      </c>
      <c r="D155" s="147">
        <v>1.5221908181193189</v>
      </c>
      <c r="E155" s="148">
        <v>2.0089085533375637E-5</v>
      </c>
      <c r="F155" s="148">
        <v>0.19938709677419358</v>
      </c>
      <c r="G155" s="147">
        <v>1.5221663362336144</v>
      </c>
      <c r="H155" s="148">
        <v>6.4184936035484891E-2</v>
      </c>
      <c r="I155" s="147">
        <v>1.6265674649273791</v>
      </c>
    </row>
    <row r="156" spans="1:9">
      <c r="A156" s="81">
        <v>153</v>
      </c>
      <c r="B156" s="145" t="s">
        <v>574</v>
      </c>
      <c r="C156" s="146">
        <v>4</v>
      </c>
      <c r="D156" s="147">
        <v>0.92597968069666181</v>
      </c>
      <c r="E156" s="148">
        <v>0.19907384212980603</v>
      </c>
      <c r="F156" s="148">
        <v>9.7424999999999998E-2</v>
      </c>
      <c r="G156" s="147">
        <v>0.78494202520224088</v>
      </c>
      <c r="H156" s="148">
        <v>8.991457377210188E-2</v>
      </c>
      <c r="I156" s="147">
        <v>0.86249268758829722</v>
      </c>
    </row>
    <row r="157" spans="1:9">
      <c r="A157" s="81">
        <v>154</v>
      </c>
      <c r="B157" s="145" t="s">
        <v>575</v>
      </c>
      <c r="C157" s="146">
        <v>3</v>
      </c>
      <c r="D157" s="147">
        <v>1.5104015481373974</v>
      </c>
      <c r="E157" s="148">
        <v>0.12712874835334226</v>
      </c>
      <c r="F157" s="148">
        <v>0.26779999999999998</v>
      </c>
      <c r="G157" s="147">
        <v>1.3817803615774911</v>
      </c>
      <c r="H157" s="148">
        <v>1.6950469803994367E-2</v>
      </c>
      <c r="I157" s="147">
        <v>1.4056060443892227</v>
      </c>
    </row>
    <row r="158" spans="1:9">
      <c r="A158" s="81">
        <v>155</v>
      </c>
      <c r="B158" s="145" t="s">
        <v>831</v>
      </c>
      <c r="C158" s="146">
        <v>1</v>
      </c>
      <c r="D158" s="147">
        <v>3.9622641509433967</v>
      </c>
      <c r="E158" s="148">
        <v>0.50382257412937503</v>
      </c>
      <c r="F158" s="148">
        <v>0.27839999999999998</v>
      </c>
      <c r="G158" s="147">
        <v>2.9058265781612729</v>
      </c>
      <c r="H158" s="148">
        <v>0.1407167951569126</v>
      </c>
      <c r="I158" s="147">
        <v>3.3816866916325941</v>
      </c>
    </row>
    <row r="159" spans="1:9">
      <c r="A159" s="81">
        <v>156</v>
      </c>
      <c r="B159" s="145" t="s">
        <v>576</v>
      </c>
      <c r="C159" s="146">
        <v>1</v>
      </c>
      <c r="D159" s="147">
        <v>1.1030478955007257</v>
      </c>
      <c r="E159" s="148">
        <v>0.45633797009245469</v>
      </c>
      <c r="F159" s="148">
        <v>0.1794</v>
      </c>
      <c r="G159" s="147">
        <v>0.80252544073345822</v>
      </c>
      <c r="H159" s="148">
        <v>6.7975780802424751E-2</v>
      </c>
      <c r="I159" s="147">
        <v>0.86105642343113276</v>
      </c>
    </row>
    <row r="160" spans="1:9">
      <c r="A160" s="81">
        <v>157</v>
      </c>
      <c r="B160" s="145" t="s">
        <v>832</v>
      </c>
      <c r="C160" s="146">
        <v>3</v>
      </c>
      <c r="D160" s="147">
        <v>1.1574746008708274</v>
      </c>
      <c r="E160" s="148">
        <v>9.9540577519648468E-2</v>
      </c>
      <c r="F160" s="148">
        <v>0.14579999999999999</v>
      </c>
      <c r="G160" s="147">
        <v>1.0667697689315734</v>
      </c>
      <c r="H160" s="148">
        <v>6.7662791388169996E-2</v>
      </c>
      <c r="I160" s="147">
        <v>1.1441887753465314</v>
      </c>
    </row>
    <row r="161" spans="1:9">
      <c r="A161" s="81">
        <v>158</v>
      </c>
      <c r="B161" s="145" t="s">
        <v>577</v>
      </c>
      <c r="C161" s="146">
        <v>26</v>
      </c>
      <c r="D161" s="147">
        <v>0.87175089061881517</v>
      </c>
      <c r="E161" s="148">
        <v>0.57726020288813995</v>
      </c>
      <c r="F161" s="148">
        <v>0.18914615384615382</v>
      </c>
      <c r="G161" s="147">
        <v>0.59380596280598819</v>
      </c>
      <c r="H161" s="148">
        <v>7.0987293074680755E-2</v>
      </c>
      <c r="I161" s="147">
        <v>0.63917959181770656</v>
      </c>
    </row>
    <row r="162" spans="1:9">
      <c r="A162" s="81">
        <v>159</v>
      </c>
      <c r="B162" s="145" t="s">
        <v>578</v>
      </c>
      <c r="C162" s="146">
        <v>1</v>
      </c>
      <c r="D162" s="147">
        <v>0.71988388969521055</v>
      </c>
      <c r="E162" s="148">
        <v>8.4119313321758275E-4</v>
      </c>
      <c r="F162" s="148">
        <v>0.14829999999999999</v>
      </c>
      <c r="G162" s="147">
        <v>0.71936850231013816</v>
      </c>
      <c r="H162" s="148">
        <v>5.9883219647354699E-2</v>
      </c>
      <c r="I162" s="147">
        <v>0.76519057774960386</v>
      </c>
    </row>
    <row r="163" spans="1:9">
      <c r="A163" s="81">
        <v>160</v>
      </c>
      <c r="B163" s="145" t="s">
        <v>579</v>
      </c>
      <c r="C163" s="146">
        <v>157</v>
      </c>
      <c r="D163" s="147">
        <v>1.1466032153622869</v>
      </c>
      <c r="E163" s="148">
        <v>2.2673010497111829E-3</v>
      </c>
      <c r="F163" s="148">
        <v>0.15984840764331201</v>
      </c>
      <c r="G163" s="147">
        <v>1.1444232303448787</v>
      </c>
      <c r="H163" s="148">
        <v>4.4560542068827917E-2</v>
      </c>
      <c r="I163" s="147">
        <v>1.1977977472512136</v>
      </c>
    </row>
    <row r="164" spans="1:9">
      <c r="A164" s="81">
        <v>161</v>
      </c>
      <c r="B164" s="145" t="s">
        <v>580</v>
      </c>
      <c r="C164" s="146">
        <v>12</v>
      </c>
      <c r="D164" s="147">
        <v>0.83776810191904538</v>
      </c>
      <c r="E164" s="148">
        <v>0.29175847403617411</v>
      </c>
      <c r="F164" s="148">
        <v>0.142175</v>
      </c>
      <c r="G164" s="147">
        <v>0.67006561279533239</v>
      </c>
      <c r="H164" s="148">
        <v>5.8571756895322492E-2</v>
      </c>
      <c r="I164" s="147">
        <v>0.71175431340955397</v>
      </c>
    </row>
    <row r="165" spans="1:9">
      <c r="A165" s="81">
        <v>162</v>
      </c>
      <c r="B165" s="145" t="s">
        <v>833</v>
      </c>
      <c r="C165" s="146">
        <v>7</v>
      </c>
      <c r="D165" s="147">
        <v>1.5348330914368651</v>
      </c>
      <c r="E165" s="148">
        <v>1.6480658963157423E-4</v>
      </c>
      <c r="F165" s="148">
        <v>0.14444285714285712</v>
      </c>
      <c r="G165" s="147">
        <v>1.5346167082482127</v>
      </c>
      <c r="H165" s="148">
        <v>6.6363080800584881E-2</v>
      </c>
      <c r="I165" s="147">
        <v>1.6436975409714218</v>
      </c>
    </row>
    <row r="166" spans="1:9">
      <c r="A166" s="81">
        <v>163</v>
      </c>
      <c r="B166" s="145" t="s">
        <v>581</v>
      </c>
      <c r="C166" s="146">
        <v>10</v>
      </c>
      <c r="D166" s="147">
        <v>1.4776648927592324</v>
      </c>
      <c r="E166" s="148">
        <v>0.27240885495712885</v>
      </c>
      <c r="F166" s="148">
        <v>0.14751999999999998</v>
      </c>
      <c r="G166" s="147">
        <v>1.1991861635698577</v>
      </c>
      <c r="H166" s="148">
        <v>6.4927048555317973E-2</v>
      </c>
      <c r="I166" s="147">
        <v>1.2824519859302126</v>
      </c>
    </row>
    <row r="167" spans="1:9">
      <c r="A167" s="81">
        <v>164</v>
      </c>
      <c r="B167" s="145" t="s">
        <v>582</v>
      </c>
      <c r="C167" s="146">
        <v>45</v>
      </c>
      <c r="D167" s="147">
        <v>1.5997460087082733</v>
      </c>
      <c r="E167" s="148">
        <v>0.53819537490313718</v>
      </c>
      <c r="F167" s="148">
        <v>0.19560666666666668</v>
      </c>
      <c r="G167" s="147">
        <v>1.1164232108372181</v>
      </c>
      <c r="H167" s="148">
        <v>8.3333569158677373E-2</v>
      </c>
      <c r="I167" s="147">
        <v>1.2179165433303338</v>
      </c>
    </row>
    <row r="168" spans="1:9">
      <c r="A168" s="81">
        <v>165</v>
      </c>
      <c r="B168" s="145" t="s">
        <v>583</v>
      </c>
      <c r="C168" s="146">
        <v>9</v>
      </c>
      <c r="D168" s="147">
        <v>1.3370827285921627</v>
      </c>
      <c r="E168" s="148">
        <v>3.0701443457153965E-4</v>
      </c>
      <c r="F168" s="148">
        <v>8.8777777777777778E-3</v>
      </c>
      <c r="G168" s="147">
        <v>1.3366759930199663</v>
      </c>
      <c r="H168" s="148">
        <v>5.0428048204926622E-3</v>
      </c>
      <c r="I168" s="147">
        <v>1.3434507529530524</v>
      </c>
    </row>
    <row r="169" spans="1:9">
      <c r="A169" s="81">
        <v>166</v>
      </c>
      <c r="B169" s="145" t="s">
        <v>584</v>
      </c>
      <c r="C169" s="146">
        <v>6</v>
      </c>
      <c r="D169" s="147">
        <v>1.1756168359941945</v>
      </c>
      <c r="E169" s="148">
        <v>5.5116438819484574E-2</v>
      </c>
      <c r="F169" s="148">
        <v>0.13144999999999998</v>
      </c>
      <c r="G169" s="147">
        <v>1.1219094777638876</v>
      </c>
      <c r="H169" s="148">
        <v>3.3233672994510119E-2</v>
      </c>
      <c r="I169" s="147">
        <v>1.1604763699610285</v>
      </c>
    </row>
    <row r="170" spans="1:9">
      <c r="A170" s="81">
        <v>167</v>
      </c>
      <c r="B170" s="145" t="s">
        <v>585</v>
      </c>
      <c r="C170" s="146">
        <v>10</v>
      </c>
      <c r="D170" s="147">
        <v>1.0904001658718641</v>
      </c>
      <c r="E170" s="148">
        <v>1.760500488578207E-2</v>
      </c>
      <c r="F170" s="148">
        <v>0.11460999999999999</v>
      </c>
      <c r="G170" s="147">
        <v>1.0736646381301207</v>
      </c>
      <c r="H170" s="148">
        <v>0.12120939443834085</v>
      </c>
      <c r="I170" s="147">
        <v>1.2217525214028799</v>
      </c>
    </row>
    <row r="171" spans="1:9">
      <c r="A171" s="81">
        <v>168</v>
      </c>
      <c r="B171" s="145" t="s">
        <v>586</v>
      </c>
      <c r="C171" s="146">
        <v>16</v>
      </c>
      <c r="D171" s="147">
        <v>1.2275315395779838</v>
      </c>
      <c r="E171" s="148">
        <v>0.12439540443124592</v>
      </c>
      <c r="F171" s="148">
        <v>0.1668125</v>
      </c>
      <c r="G171" s="147">
        <v>1.1122524703775742</v>
      </c>
      <c r="H171" s="148">
        <v>5.0223598442102189E-2</v>
      </c>
      <c r="I171" s="147">
        <v>1.1710677045177902</v>
      </c>
    </row>
    <row r="172" spans="1:9">
      <c r="A172" s="81">
        <v>169</v>
      </c>
      <c r="B172" s="145" t="s">
        <v>587</v>
      </c>
      <c r="C172" s="146">
        <v>6</v>
      </c>
      <c r="D172" s="147">
        <v>1.3594581519109823</v>
      </c>
      <c r="E172" s="148">
        <v>4.9733898715304412E-2</v>
      </c>
      <c r="F172" s="148">
        <v>0.19928333333333334</v>
      </c>
      <c r="G172" s="147">
        <v>1.3073941080301041</v>
      </c>
      <c r="H172" s="148">
        <v>0.10915293107239221</v>
      </c>
      <c r="I172" s="147">
        <v>1.4675853506527572</v>
      </c>
    </row>
    <row r="173" spans="1:9">
      <c r="A173" s="81">
        <v>170</v>
      </c>
      <c r="B173" s="145" t="s">
        <v>588</v>
      </c>
      <c r="C173" s="146">
        <v>6</v>
      </c>
      <c r="D173" s="147">
        <v>1.2815674891146591</v>
      </c>
      <c r="E173" s="148">
        <v>1.5907148685960038E-2</v>
      </c>
      <c r="F173" s="148">
        <v>0.14341666666666666</v>
      </c>
      <c r="G173" s="147">
        <v>1.264339849163659</v>
      </c>
      <c r="H173" s="148">
        <v>0.10959353850962038</v>
      </c>
      <c r="I173" s="147">
        <v>1.4199580796475606</v>
      </c>
    </row>
    <row r="174" spans="1:9">
      <c r="A174" s="81">
        <v>171</v>
      </c>
      <c r="B174" s="145" t="s">
        <v>834</v>
      </c>
      <c r="C174" s="146">
        <v>3</v>
      </c>
      <c r="D174" s="147">
        <v>1.3904208998548622</v>
      </c>
      <c r="E174" s="148">
        <v>6.7703475232114549E-2</v>
      </c>
      <c r="F174" s="148">
        <v>3.6466666666666668E-2</v>
      </c>
      <c r="G174" s="147">
        <v>1.3052720577908101</v>
      </c>
      <c r="H174" s="148">
        <v>7.3710622734381212E-2</v>
      </c>
      <c r="I174" s="147">
        <v>1.4091406960143902</v>
      </c>
    </row>
    <row r="175" spans="1:9">
      <c r="A175" s="81">
        <v>172</v>
      </c>
      <c r="B175" s="145" t="s">
        <v>589</v>
      </c>
      <c r="C175" s="146">
        <v>10</v>
      </c>
      <c r="D175" s="147">
        <v>0.9528301886792454</v>
      </c>
      <c r="E175" s="148">
        <v>5.0140729662455034E-3</v>
      </c>
      <c r="F175" s="148">
        <v>8.0239999999999992E-2</v>
      </c>
      <c r="G175" s="147">
        <v>0.94845615194699484</v>
      </c>
      <c r="H175" s="148">
        <v>8.482699765694926E-2</v>
      </c>
      <c r="I175" s="147">
        <v>1.0363681506324287</v>
      </c>
    </row>
    <row r="176" spans="1:9">
      <c r="A176" s="81">
        <v>173</v>
      </c>
      <c r="B176" s="145" t="s">
        <v>590</v>
      </c>
      <c r="C176" s="146">
        <v>5</v>
      </c>
      <c r="D176" s="147">
        <v>1.0493468795355589</v>
      </c>
      <c r="E176" s="148">
        <v>0.42393933528244709</v>
      </c>
      <c r="F176" s="148">
        <v>0.19500000000000001</v>
      </c>
      <c r="G176" s="147">
        <v>0.7823525227368473</v>
      </c>
      <c r="H176" s="148">
        <v>0.11315904187513429</v>
      </c>
      <c r="I176" s="147">
        <v>0.88217905991966306</v>
      </c>
    </row>
    <row r="177" spans="1:9">
      <c r="A177" s="81">
        <v>174</v>
      </c>
      <c r="B177" s="145" t="s">
        <v>591</v>
      </c>
      <c r="C177" s="146">
        <v>12</v>
      </c>
      <c r="D177" s="147">
        <v>1.4178519593613934</v>
      </c>
      <c r="E177" s="148">
        <v>0.15404297567362438</v>
      </c>
      <c r="F177" s="148">
        <v>0.12125833333333334</v>
      </c>
      <c r="G177" s="147">
        <v>1.2488082966007383</v>
      </c>
      <c r="H177" s="148">
        <v>5.036340772423422E-2</v>
      </c>
      <c r="I177" s="147">
        <v>1.3150380964238326</v>
      </c>
    </row>
    <row r="178" spans="1:9">
      <c r="A178" s="81">
        <v>175</v>
      </c>
      <c r="B178" s="145" t="s">
        <v>835</v>
      </c>
      <c r="C178" s="146">
        <v>2</v>
      </c>
      <c r="D178" s="147">
        <v>1.3526850507982586</v>
      </c>
      <c r="E178" s="148">
        <v>0</v>
      </c>
      <c r="F178" s="148">
        <v>9.9799999999999986E-2</v>
      </c>
      <c r="G178" s="147">
        <v>1.3526850507982586</v>
      </c>
      <c r="H178" s="148">
        <v>0.34188953061982341</v>
      </c>
      <c r="I178" s="147">
        <v>2.0554072815043472</v>
      </c>
    </row>
    <row r="179" spans="1:9">
      <c r="A179" s="81">
        <v>176</v>
      </c>
      <c r="B179" s="145" t="s">
        <v>592</v>
      </c>
      <c r="C179" s="146">
        <v>3</v>
      </c>
      <c r="D179" s="147">
        <v>1.0938558297048864</v>
      </c>
      <c r="E179" s="148">
        <v>0.34293394764206075</v>
      </c>
      <c r="F179" s="148">
        <v>0.11796666666666666</v>
      </c>
      <c r="G179" s="147">
        <v>0.8398259660657883</v>
      </c>
      <c r="H179" s="148">
        <v>0.13161992150247456</v>
      </c>
      <c r="I179" s="147">
        <v>0.96711795544510704</v>
      </c>
    </row>
    <row r="180" spans="1:9">
      <c r="A180" s="81">
        <v>177</v>
      </c>
      <c r="B180" s="145" t="s">
        <v>593</v>
      </c>
      <c r="C180" s="146">
        <v>11</v>
      </c>
      <c r="D180" s="147">
        <v>1.6676342525399133</v>
      </c>
      <c r="E180" s="148">
        <v>1.2049788842362553E-2</v>
      </c>
      <c r="F180" s="148">
        <v>8.4309090909090903E-2</v>
      </c>
      <c r="G180" s="147">
        <v>1.6494345857896109</v>
      </c>
      <c r="H180" s="148">
        <v>0.11244195442882554</v>
      </c>
      <c r="I180" s="147">
        <v>1.8583962975944208</v>
      </c>
    </row>
    <row r="181" spans="1:9">
      <c r="A181" s="81">
        <v>178</v>
      </c>
      <c r="B181" s="145" t="s">
        <v>594</v>
      </c>
      <c r="C181" s="146">
        <v>3</v>
      </c>
      <c r="D181" s="147">
        <v>0.78664731494920181</v>
      </c>
      <c r="E181" s="148">
        <v>9.5535117717377022E-2</v>
      </c>
      <c r="F181" s="148">
        <v>0.1313</v>
      </c>
      <c r="G181" s="147">
        <v>0.72636527525190686</v>
      </c>
      <c r="H181" s="148">
        <v>0.31221872156633557</v>
      </c>
      <c r="I181" s="147">
        <v>1.0560992251869847</v>
      </c>
    </row>
    <row r="182" spans="1:9">
      <c r="A182" s="81">
        <v>179</v>
      </c>
      <c r="B182" s="145" t="s">
        <v>836</v>
      </c>
      <c r="C182" s="146">
        <v>1</v>
      </c>
      <c r="D182" s="147">
        <v>1.04644412191582</v>
      </c>
      <c r="E182" s="148">
        <v>0</v>
      </c>
      <c r="F182" s="148">
        <v>0</v>
      </c>
      <c r="G182" s="147">
        <v>1.04644412191582</v>
      </c>
      <c r="H182" s="148">
        <v>9.0597321006623488E-2</v>
      </c>
      <c r="I182" s="147">
        <v>1.1506939072074602</v>
      </c>
    </row>
    <row r="183" spans="1:9">
      <c r="A183" s="81">
        <v>180</v>
      </c>
      <c r="B183" s="145" t="s">
        <v>595</v>
      </c>
      <c r="C183" s="146">
        <v>1</v>
      </c>
      <c r="D183" s="147">
        <v>3.5602322206095791</v>
      </c>
      <c r="E183" s="148">
        <v>1.0889520621776433E-3</v>
      </c>
      <c r="F183" s="148">
        <v>0.30299999999999999</v>
      </c>
      <c r="G183" s="147">
        <v>3.5575320552477052</v>
      </c>
      <c r="H183" s="148">
        <v>0.22525641906168414</v>
      </c>
      <c r="I183" s="147">
        <v>4.591883227917898</v>
      </c>
    </row>
    <row r="184" spans="1:9">
      <c r="A184" s="81">
        <v>181</v>
      </c>
      <c r="B184" s="145" t="s">
        <v>837</v>
      </c>
      <c r="C184" s="146">
        <v>3</v>
      </c>
      <c r="D184" s="147">
        <v>1.2772133526850509</v>
      </c>
      <c r="E184" s="148">
        <v>2.7607455225906173E-3</v>
      </c>
      <c r="F184" s="148">
        <v>4.8899999999999999E-2</v>
      </c>
      <c r="G184" s="147">
        <v>1.273868498759019</v>
      </c>
      <c r="H184" s="148">
        <v>4.2538898317287736E-2</v>
      </c>
      <c r="I184" s="147">
        <v>1.3304650147355639</v>
      </c>
    </row>
    <row r="185" spans="1:9">
      <c r="A185" s="81">
        <v>182</v>
      </c>
      <c r="B185" s="145" t="s">
        <v>596</v>
      </c>
      <c r="C185" s="146">
        <v>6</v>
      </c>
      <c r="D185" s="147">
        <v>0.70125786163522008</v>
      </c>
      <c r="E185" s="148">
        <v>3.9724484618776208E-2</v>
      </c>
      <c r="F185" s="148">
        <v>4.1000000000000002E-2</v>
      </c>
      <c r="G185" s="147">
        <v>0.67552327505750831</v>
      </c>
      <c r="H185" s="148">
        <v>5.6302925182186624E-2</v>
      </c>
      <c r="I185" s="147">
        <v>0.71582639501973899</v>
      </c>
    </row>
    <row r="186" spans="1:9">
      <c r="A186" s="81">
        <v>183</v>
      </c>
      <c r="B186" s="145" t="s">
        <v>597</v>
      </c>
      <c r="C186" s="146">
        <v>5</v>
      </c>
      <c r="D186" s="147">
        <v>1.2693759071117563</v>
      </c>
      <c r="E186" s="148">
        <v>9.5848032762403407E-3</v>
      </c>
      <c r="F186" s="148">
        <v>8.4440000000000001E-2</v>
      </c>
      <c r="G186" s="147">
        <v>1.2583334491320128</v>
      </c>
      <c r="H186" s="148">
        <v>2.3831942132557227E-2</v>
      </c>
      <c r="I186" s="147">
        <v>1.289054112138226</v>
      </c>
    </row>
    <row r="187" spans="1:9">
      <c r="A187" s="81">
        <v>184</v>
      </c>
      <c r="B187" s="145" t="s">
        <v>598</v>
      </c>
      <c r="C187" s="146">
        <v>5</v>
      </c>
      <c r="D187" s="147">
        <v>1.5972423802612483</v>
      </c>
      <c r="E187" s="148">
        <v>0.10814735115740157</v>
      </c>
      <c r="F187" s="148">
        <v>1.0100000000000001E-2</v>
      </c>
      <c r="G187" s="147">
        <v>1.4427849469941605</v>
      </c>
      <c r="H187" s="148">
        <v>5.8977336720052717E-2</v>
      </c>
      <c r="I187" s="147">
        <v>1.5332095636945808</v>
      </c>
    </row>
    <row r="188" spans="1:9">
      <c r="A188" s="81">
        <v>185</v>
      </c>
      <c r="B188" s="145" t="s">
        <v>599</v>
      </c>
      <c r="C188" s="146">
        <v>7</v>
      </c>
      <c r="D188" s="147">
        <v>0.87476674269127108</v>
      </c>
      <c r="E188" s="148">
        <v>0.20189665571043708</v>
      </c>
      <c r="F188" s="148">
        <v>0.18464285714285716</v>
      </c>
      <c r="G188" s="147">
        <v>0.75111910734748544</v>
      </c>
      <c r="H188" s="148">
        <v>9.3369399190869978E-2</v>
      </c>
      <c r="I188" s="147">
        <v>0.82847314736249023</v>
      </c>
    </row>
    <row r="189" spans="1:9">
      <c r="A189" s="81">
        <v>186</v>
      </c>
      <c r="B189" s="145" t="s">
        <v>838</v>
      </c>
      <c r="C189" s="146">
        <v>2</v>
      </c>
      <c r="D189" s="147">
        <v>1.8701015965166912</v>
      </c>
      <c r="E189" s="148">
        <v>1.4001217922537195</v>
      </c>
      <c r="F189" s="148">
        <v>8.8900000000000007E-2</v>
      </c>
      <c r="G189" s="147">
        <v>0.82178753479468303</v>
      </c>
      <c r="H189" s="148">
        <v>4.741731539489951E-2</v>
      </c>
      <c r="I189" s="147">
        <v>0.86269417665864934</v>
      </c>
    </row>
    <row r="190" spans="1:9">
      <c r="A190" s="81">
        <v>187</v>
      </c>
      <c r="B190" s="145" t="s">
        <v>600</v>
      </c>
      <c r="C190" s="146">
        <v>24</v>
      </c>
      <c r="D190" s="147">
        <v>1.1847070506454813</v>
      </c>
      <c r="E190" s="148">
        <v>1.1062468105202212</v>
      </c>
      <c r="F190" s="148">
        <v>0.19767916666666671</v>
      </c>
      <c r="G190" s="147">
        <v>0.62763779615619786</v>
      </c>
      <c r="H190" s="148">
        <v>5.2712659675739244E-2</v>
      </c>
      <c r="I190" s="147">
        <v>0.66256326822794298</v>
      </c>
    </row>
    <row r="191" spans="1:9">
      <c r="A191" s="81">
        <v>188</v>
      </c>
      <c r="B191" s="145" t="s">
        <v>601</v>
      </c>
      <c r="C191" s="146">
        <v>168</v>
      </c>
      <c r="D191" s="147">
        <v>1.4125178609601603</v>
      </c>
      <c r="E191" s="148">
        <v>3.2153177000020339E-8</v>
      </c>
      <c r="F191" s="148">
        <v>8.7887500000000021E-2</v>
      </c>
      <c r="G191" s="147">
        <v>1.4125178195348058</v>
      </c>
      <c r="H191" s="148">
        <v>8.2003197442235137E-2</v>
      </c>
      <c r="I191" s="147">
        <v>1.5386957945814015</v>
      </c>
    </row>
    <row r="192" spans="1:9">
      <c r="A192" s="81">
        <v>189</v>
      </c>
      <c r="B192" s="145" t="s">
        <v>602</v>
      </c>
      <c r="C192" s="146">
        <v>4</v>
      </c>
      <c r="D192" s="147">
        <v>1.517174649250121</v>
      </c>
      <c r="E192" s="148">
        <v>8.0137415162043493E-2</v>
      </c>
      <c r="F192" s="148">
        <v>6.3450000000000006E-2</v>
      </c>
      <c r="G192" s="147">
        <v>1.4112560757767645</v>
      </c>
      <c r="H192" s="148">
        <v>5.0211032463279327E-2</v>
      </c>
      <c r="I192" s="147">
        <v>1.4858627800624591</v>
      </c>
    </row>
    <row r="193" spans="1:9">
      <c r="A193" s="81">
        <v>190</v>
      </c>
      <c r="B193" s="145" t="s">
        <v>839</v>
      </c>
      <c r="C193" s="146">
        <v>3</v>
      </c>
      <c r="D193" s="147">
        <v>1.2738268021286892</v>
      </c>
      <c r="E193" s="148">
        <v>0.11808781575148555</v>
      </c>
      <c r="F193" s="148">
        <v>0.1085</v>
      </c>
      <c r="G193" s="147">
        <v>1.1524973156058795</v>
      </c>
      <c r="H193" s="148">
        <v>9.2122593189114657E-2</v>
      </c>
      <c r="I193" s="147">
        <v>1.2694415644225294</v>
      </c>
    </row>
    <row r="194" spans="1:9">
      <c r="A194" s="81">
        <v>191</v>
      </c>
      <c r="B194" s="145" t="s">
        <v>840</v>
      </c>
      <c r="C194" s="146">
        <v>1</v>
      </c>
      <c r="D194" s="147">
        <v>3.2859216255442671</v>
      </c>
      <c r="E194" s="148">
        <v>1.0084700374310942</v>
      </c>
      <c r="F194" s="148">
        <v>0</v>
      </c>
      <c r="G194" s="147">
        <v>1.6360321858458391</v>
      </c>
      <c r="H194" s="148">
        <v>3.0130529199292894E-2</v>
      </c>
      <c r="I194" s="147">
        <v>1.6868581134893954</v>
      </c>
    </row>
    <row r="195" spans="1:9">
      <c r="A195" s="81">
        <v>192</v>
      </c>
      <c r="B195" s="145" t="s">
        <v>603</v>
      </c>
      <c r="C195" s="146">
        <v>23</v>
      </c>
      <c r="D195" s="147">
        <v>1.1928721174004191</v>
      </c>
      <c r="E195" s="148">
        <v>0.14694328514246482</v>
      </c>
      <c r="F195" s="148">
        <v>0.19953043478260871</v>
      </c>
      <c r="G195" s="147">
        <v>1.0673290077040081</v>
      </c>
      <c r="H195" s="148">
        <v>0.21400343452177611</v>
      </c>
      <c r="I195" s="147">
        <v>1.3579308798310246</v>
      </c>
    </row>
    <row r="196" spans="1:9">
      <c r="A196" s="81">
        <v>193</v>
      </c>
      <c r="B196" s="145" t="s">
        <v>604</v>
      </c>
      <c r="C196" s="146">
        <v>16</v>
      </c>
      <c r="D196" s="147">
        <v>1.688679245283019</v>
      </c>
      <c r="E196" s="148">
        <v>0.42239484318234671</v>
      </c>
      <c r="F196" s="148">
        <v>0.14279375</v>
      </c>
      <c r="G196" s="147">
        <v>1.2397802373861133</v>
      </c>
      <c r="H196" s="148">
        <v>0.11136781569025912</v>
      </c>
      <c r="I196" s="147">
        <v>1.395155677766873</v>
      </c>
    </row>
    <row r="197" spans="1:9">
      <c r="A197" s="81">
        <v>194</v>
      </c>
      <c r="B197" s="145" t="s">
        <v>605</v>
      </c>
      <c r="C197" s="146">
        <v>3</v>
      </c>
      <c r="D197" s="147" t="s">
        <v>453</v>
      </c>
      <c r="E197" s="148">
        <v>0.30545559888326229</v>
      </c>
      <c r="F197" s="148">
        <v>0.22493333333333332</v>
      </c>
      <c r="G197" s="147" t="s">
        <v>453</v>
      </c>
      <c r="H197" s="148">
        <v>0.14655637608390581</v>
      </c>
      <c r="I197" s="147" t="s">
        <v>453</v>
      </c>
    </row>
    <row r="198" spans="1:9">
      <c r="A198" s="81">
        <v>195</v>
      </c>
      <c r="B198" s="145" t="s">
        <v>606</v>
      </c>
      <c r="C198" s="146">
        <v>6</v>
      </c>
      <c r="D198" s="147">
        <v>1.6728592162554428</v>
      </c>
      <c r="E198" s="148">
        <v>0.21162900254448824</v>
      </c>
      <c r="F198" s="148">
        <v>0.31109999999999999</v>
      </c>
      <c r="G198" s="147">
        <v>1.4600035218198062</v>
      </c>
      <c r="H198" s="148">
        <v>6.0094572361513686E-2</v>
      </c>
      <c r="I198" s="147">
        <v>1.5533515169585381</v>
      </c>
    </row>
    <row r="199" spans="1:9">
      <c r="A199" s="81">
        <v>196</v>
      </c>
      <c r="B199" s="145" t="s">
        <v>607</v>
      </c>
      <c r="C199" s="146">
        <v>26</v>
      </c>
      <c r="D199" s="147">
        <v>1.4089733072505837</v>
      </c>
      <c r="E199" s="148">
        <v>0.27124739122781166</v>
      </c>
      <c r="F199" s="148">
        <v>0.19278461538461539</v>
      </c>
      <c r="G199" s="147">
        <v>1.1558861726097864</v>
      </c>
      <c r="H199" s="148">
        <v>4.2805223830091318E-2</v>
      </c>
      <c r="I199" s="147">
        <v>1.2075767663869998</v>
      </c>
    </row>
    <row r="200" spans="1:9">
      <c r="A200" s="81">
        <v>197</v>
      </c>
      <c r="B200" s="145" t="s">
        <v>608</v>
      </c>
      <c r="C200" s="146">
        <v>41</v>
      </c>
      <c r="D200" s="147">
        <v>1.3560178465838844</v>
      </c>
      <c r="E200" s="148">
        <v>0.10584317138302046</v>
      </c>
      <c r="F200" s="148">
        <v>0.19986585365853657</v>
      </c>
      <c r="G200" s="147">
        <v>1.2501446747836074</v>
      </c>
      <c r="H200" s="148">
        <v>3.2325968937881089E-2</v>
      </c>
      <c r="I200" s="147">
        <v>1.2919068143344188</v>
      </c>
    </row>
    <row r="201" spans="1:9">
      <c r="A201" s="81">
        <v>198</v>
      </c>
      <c r="B201" s="145" t="s">
        <v>609</v>
      </c>
      <c r="C201" s="146">
        <v>8</v>
      </c>
      <c r="D201" s="147">
        <v>1.3864296081277212</v>
      </c>
      <c r="E201" s="148">
        <v>0.32385337587305146</v>
      </c>
      <c r="F201" s="148">
        <v>0.32241249999999999</v>
      </c>
      <c r="G201" s="147">
        <v>1.1369405184645232</v>
      </c>
      <c r="H201" s="148">
        <v>0.17012759443779835</v>
      </c>
      <c r="I201" s="147">
        <v>1.3700184640966542</v>
      </c>
    </row>
    <row r="202" spans="1:9">
      <c r="A202" s="81">
        <v>199</v>
      </c>
      <c r="B202" s="145" t="s">
        <v>610</v>
      </c>
      <c r="C202" s="146">
        <v>8</v>
      </c>
      <c r="D202" s="147">
        <v>1.1565070149975811</v>
      </c>
      <c r="E202" s="148">
        <v>0.21731062991228711</v>
      </c>
      <c r="F202" s="148">
        <v>0.23975000000000002</v>
      </c>
      <c r="G202" s="147">
        <v>0.99253062679023496</v>
      </c>
      <c r="H202" s="148">
        <v>5.6533136305592563E-2</v>
      </c>
      <c r="I202" s="147">
        <v>1.0520036950780705</v>
      </c>
    </row>
    <row r="203" spans="1:9">
      <c r="A203" s="81">
        <v>200</v>
      </c>
      <c r="B203" s="145" t="s">
        <v>611</v>
      </c>
      <c r="C203" s="146">
        <v>13</v>
      </c>
      <c r="D203" s="147">
        <v>1.6083916083916086</v>
      </c>
      <c r="E203" s="148">
        <v>1.1593624713622009E-2</v>
      </c>
      <c r="F203" s="148">
        <v>0.16279230769230768</v>
      </c>
      <c r="G203" s="147">
        <v>1.5929301949735548</v>
      </c>
      <c r="H203" s="148">
        <v>0.15683091499349422</v>
      </c>
      <c r="I203" s="147">
        <v>1.8892179792873502</v>
      </c>
    </row>
    <row r="204" spans="1:9">
      <c r="A204" s="81">
        <v>201</v>
      </c>
      <c r="B204" s="145" t="s">
        <v>612</v>
      </c>
      <c r="C204" s="146">
        <v>106</v>
      </c>
      <c r="D204" s="147">
        <v>1.3695486903034073</v>
      </c>
      <c r="E204" s="148">
        <v>0.29939566889599339</v>
      </c>
      <c r="F204" s="148">
        <v>0.17138679245283023</v>
      </c>
      <c r="G204" s="147">
        <v>1.0973216242599968</v>
      </c>
      <c r="H204" s="148">
        <v>8.9189808099030085E-2</v>
      </c>
      <c r="I204" s="147">
        <v>1.2047753022720959</v>
      </c>
    </row>
    <row r="205" spans="1:9">
      <c r="A205" s="81">
        <v>202</v>
      </c>
      <c r="B205" s="145" t="s">
        <v>613</v>
      </c>
      <c r="C205" s="146">
        <v>16</v>
      </c>
      <c r="D205" s="147">
        <v>1.5985728108369619</v>
      </c>
      <c r="E205" s="148">
        <v>0.20582459327642819</v>
      </c>
      <c r="F205" s="148">
        <v>0.26228750000000006</v>
      </c>
      <c r="G205" s="147">
        <v>1.3878435180823725</v>
      </c>
      <c r="H205" s="148">
        <v>1.45261042057714E-2</v>
      </c>
      <c r="I205" s="147">
        <v>1.4083006399310656</v>
      </c>
    </row>
    <row r="206" spans="1:9">
      <c r="A206" s="81">
        <v>203</v>
      </c>
      <c r="B206" s="145" t="s">
        <v>614</v>
      </c>
      <c r="C206" s="146">
        <v>5</v>
      </c>
      <c r="D206" s="147">
        <v>1.4184808901790034</v>
      </c>
      <c r="E206" s="148">
        <v>0.12236180320675162</v>
      </c>
      <c r="F206" s="148">
        <v>0.14892</v>
      </c>
      <c r="G206" s="147">
        <v>1.2846933331089085</v>
      </c>
      <c r="H206" s="148">
        <v>5.2010445747609435E-2</v>
      </c>
      <c r="I206" s="147">
        <v>1.3551766760996131</v>
      </c>
    </row>
    <row r="207" spans="1:9">
      <c r="A207" s="81">
        <v>204</v>
      </c>
      <c r="B207" s="145" t="s">
        <v>615</v>
      </c>
      <c r="C207" s="146">
        <v>8</v>
      </c>
      <c r="D207" s="147">
        <v>1.1300798258345428</v>
      </c>
      <c r="E207" s="148">
        <v>1.4889989245721177E-2</v>
      </c>
      <c r="F207" s="148">
        <v>0.17966250000000003</v>
      </c>
      <c r="G207" s="147">
        <v>1.1164426832666559</v>
      </c>
      <c r="H207" s="148">
        <v>1.7278776112569897E-2</v>
      </c>
      <c r="I207" s="147">
        <v>1.1360726278509108</v>
      </c>
    </row>
    <row r="208" spans="1:9">
      <c r="A208" s="81">
        <v>205</v>
      </c>
      <c r="B208" s="145" t="s">
        <v>616</v>
      </c>
      <c r="C208" s="146">
        <v>14</v>
      </c>
      <c r="D208" s="147">
        <v>1.5499113046282857</v>
      </c>
      <c r="E208" s="148">
        <v>0.28927603481154651</v>
      </c>
      <c r="F208" s="148">
        <v>0.27387857142857147</v>
      </c>
      <c r="G208" s="147">
        <v>1.2808660052450982</v>
      </c>
      <c r="H208" s="148">
        <v>0.19874096836169231</v>
      </c>
      <c r="I208" s="147">
        <v>1.5985666989938998</v>
      </c>
    </row>
    <row r="209" spans="1:9">
      <c r="A209" s="81">
        <v>206</v>
      </c>
      <c r="B209" s="145" t="s">
        <v>617</v>
      </c>
      <c r="C209" s="146">
        <v>19</v>
      </c>
      <c r="D209" s="147">
        <v>1.6515723270440252</v>
      </c>
      <c r="E209" s="148">
        <v>7.9782260605351443E-2</v>
      </c>
      <c r="F209" s="148">
        <v>0.13978947368421052</v>
      </c>
      <c r="G209" s="147">
        <v>1.5455050273525766</v>
      </c>
      <c r="H209" s="148">
        <v>9.6271452209950134E-2</v>
      </c>
      <c r="I209" s="147">
        <v>1.7101429750469954</v>
      </c>
    </row>
    <row r="210" spans="1:9">
      <c r="A210" s="81">
        <v>207</v>
      </c>
      <c r="B210" s="145" t="s">
        <v>841</v>
      </c>
      <c r="C210" s="146">
        <v>1</v>
      </c>
      <c r="D210" s="147">
        <v>1.3076923076923079</v>
      </c>
      <c r="E210" s="148">
        <v>0</v>
      </c>
      <c r="F210" s="148">
        <v>0</v>
      </c>
      <c r="G210" s="147">
        <v>1.3076923076923079</v>
      </c>
      <c r="H210" s="148">
        <v>0</v>
      </c>
      <c r="I210" s="147">
        <v>1.3076923076923079</v>
      </c>
    </row>
    <row r="211" spans="1:9">
      <c r="A211" s="81">
        <v>208</v>
      </c>
      <c r="B211" s="145" t="s">
        <v>842</v>
      </c>
      <c r="C211" s="146">
        <v>1</v>
      </c>
      <c r="D211" s="147">
        <v>1</v>
      </c>
      <c r="E211" s="148">
        <v>1.2550119059325683E-2</v>
      </c>
      <c r="F211" s="148">
        <v>0</v>
      </c>
      <c r="G211" s="147">
        <v>0.98760543421694025</v>
      </c>
      <c r="H211" s="148">
        <v>5.2691809435590695E-2</v>
      </c>
      <c r="I211" s="147">
        <v>1.0425386838770196</v>
      </c>
    </row>
    <row r="212" spans="1:9">
      <c r="A212" s="81">
        <v>209</v>
      </c>
      <c r="B212" s="145" t="s">
        <v>618</v>
      </c>
      <c r="C212" s="146">
        <v>7</v>
      </c>
      <c r="D212" s="147">
        <v>1.5882922109337205</v>
      </c>
      <c r="E212" s="148">
        <v>0.23183662678119635</v>
      </c>
      <c r="F212" s="148">
        <v>9.5042857142857137E-2</v>
      </c>
      <c r="G212" s="147">
        <v>1.3128527919617123</v>
      </c>
      <c r="H212" s="148">
        <v>0.10794163000357525</v>
      </c>
      <c r="I212" s="147">
        <v>1.4717117580175545</v>
      </c>
    </row>
    <row r="213" spans="1:9">
      <c r="A213" s="81">
        <v>210</v>
      </c>
      <c r="B213" s="145" t="s">
        <v>843</v>
      </c>
      <c r="C213" s="146">
        <v>4</v>
      </c>
      <c r="D213" s="147">
        <v>1.0413642960812772</v>
      </c>
      <c r="E213" s="148">
        <v>8.4159714312101702E-2</v>
      </c>
      <c r="F213" s="148">
        <v>0.22387499999999999</v>
      </c>
      <c r="G213" s="147">
        <v>0.97751455257041941</v>
      </c>
      <c r="H213" s="148">
        <v>3.5097401797675926E-2</v>
      </c>
      <c r="I213" s="147">
        <v>1.0130707020497118</v>
      </c>
    </row>
    <row r="214" spans="1:9">
      <c r="A214" s="81">
        <v>211</v>
      </c>
      <c r="B214" s="145" t="s">
        <v>844</v>
      </c>
      <c r="C214" s="146">
        <v>1</v>
      </c>
      <c r="D214" s="147" t="s">
        <v>453</v>
      </c>
      <c r="E214" s="148">
        <v>5.2263452519770562E-2</v>
      </c>
      <c r="F214" s="148">
        <v>8.2400000000000001E-2</v>
      </c>
      <c r="G214" s="147" t="s">
        <v>453</v>
      </c>
      <c r="H214" s="148">
        <v>7.7145653623237236E-3</v>
      </c>
      <c r="I214" s="147" t="s">
        <v>453</v>
      </c>
    </row>
    <row r="215" spans="1:9">
      <c r="A215" s="81">
        <v>212</v>
      </c>
      <c r="B215" s="145" t="s">
        <v>619</v>
      </c>
      <c r="C215" s="146">
        <v>15</v>
      </c>
      <c r="D215" s="147">
        <v>1.4142880180616031</v>
      </c>
      <c r="E215" s="148">
        <v>3.7787554702954211E-3</v>
      </c>
      <c r="F215" s="148">
        <v>0.14519333333333334</v>
      </c>
      <c r="G215" s="147">
        <v>1.4097344273208658</v>
      </c>
      <c r="H215" s="148">
        <v>5.7801288656703642E-2</v>
      </c>
      <c r="I215" s="147">
        <v>1.4962177408532029</v>
      </c>
    </row>
    <row r="216" spans="1:9">
      <c r="A216" s="81">
        <v>213</v>
      </c>
      <c r="B216" s="145" t="s">
        <v>620</v>
      </c>
      <c r="C216" s="146">
        <v>1</v>
      </c>
      <c r="D216" s="147">
        <v>1.3236574746008709</v>
      </c>
      <c r="E216" s="148">
        <v>0.11485706305041005</v>
      </c>
      <c r="F216" s="148">
        <v>0.16980000000000001</v>
      </c>
      <c r="G216" s="147">
        <v>1.2084285731321023</v>
      </c>
      <c r="H216" s="148">
        <v>5.0669506193968893E-2</v>
      </c>
      <c r="I216" s="147">
        <v>1.2729271639503561</v>
      </c>
    </row>
    <row r="217" spans="1:9">
      <c r="A217" s="81">
        <v>214</v>
      </c>
      <c r="B217" s="145" t="s">
        <v>621</v>
      </c>
      <c r="C217" s="146">
        <v>27</v>
      </c>
      <c r="D217" s="147">
        <v>1.1030478955007259</v>
      </c>
      <c r="E217" s="148">
        <v>6.2680986439304948E-2</v>
      </c>
      <c r="F217" s="148">
        <v>6.5548148148148161E-2</v>
      </c>
      <c r="G217" s="147">
        <v>1.0420146351494455</v>
      </c>
      <c r="H217" s="148">
        <v>3.3702380330928372E-2</v>
      </c>
      <c r="I217" s="147">
        <v>1.0783578619455823</v>
      </c>
    </row>
    <row r="218" spans="1:9">
      <c r="A218" s="81">
        <v>215</v>
      </c>
      <c r="B218" s="145" t="s">
        <v>622</v>
      </c>
      <c r="C218" s="146">
        <v>250</v>
      </c>
      <c r="D218" s="147">
        <v>1.1318312493022222</v>
      </c>
      <c r="E218" s="148">
        <v>6.453631761812971E-2</v>
      </c>
      <c r="F218" s="148">
        <v>0.19345160000000006</v>
      </c>
      <c r="G218" s="147">
        <v>1.0758323838427997</v>
      </c>
      <c r="H218" s="148">
        <v>4.6547278804632455E-2</v>
      </c>
      <c r="I218" s="147">
        <v>1.128354201447977</v>
      </c>
    </row>
    <row r="219" spans="1:9">
      <c r="A219" s="81">
        <v>216</v>
      </c>
      <c r="B219" s="145" t="s">
        <v>623</v>
      </c>
      <c r="C219" s="146">
        <v>15</v>
      </c>
      <c r="D219" s="147">
        <v>1.1074020319303339</v>
      </c>
      <c r="E219" s="148">
        <v>5.6582014777603465E-4</v>
      </c>
      <c r="F219" s="148">
        <v>0.28019333333333329</v>
      </c>
      <c r="G219" s="147">
        <v>1.1069511916153119</v>
      </c>
      <c r="H219" s="148">
        <v>5.6303159629901955E-2</v>
      </c>
      <c r="I219" s="147">
        <v>1.172994487489424</v>
      </c>
    </row>
    <row r="220" spans="1:9">
      <c r="A220" s="81">
        <v>217</v>
      </c>
      <c r="B220" s="145" t="s">
        <v>845</v>
      </c>
      <c r="C220" s="146">
        <v>3</v>
      </c>
      <c r="D220" s="147" t="s">
        <v>453</v>
      </c>
      <c r="E220" s="148">
        <v>53.613293237720718</v>
      </c>
      <c r="F220" s="148">
        <v>0.41096666666666665</v>
      </c>
      <c r="G220" s="147" t="s">
        <v>453</v>
      </c>
      <c r="H220" s="148">
        <v>0.13085975333670011</v>
      </c>
      <c r="I220" s="147" t="s">
        <v>453</v>
      </c>
    </row>
    <row r="221" spans="1:9">
      <c r="A221" s="81">
        <v>218</v>
      </c>
      <c r="B221" s="145" t="s">
        <v>624</v>
      </c>
      <c r="C221" s="146">
        <v>29</v>
      </c>
      <c r="D221" s="147">
        <v>0.87240487158452729</v>
      </c>
      <c r="E221" s="148">
        <v>0.1565681459605571</v>
      </c>
      <c r="F221" s="148">
        <v>0.18315862068965516</v>
      </c>
      <c r="G221" s="147">
        <v>0.77348308335318927</v>
      </c>
      <c r="H221" s="148">
        <v>3.0351810203123809E-2</v>
      </c>
      <c r="I221" s="147">
        <v>0.79769455715192961</v>
      </c>
    </row>
    <row r="222" spans="1:9">
      <c r="A222" s="81">
        <v>219</v>
      </c>
      <c r="B222" s="145" t="s">
        <v>625</v>
      </c>
      <c r="C222" s="146">
        <v>1</v>
      </c>
      <c r="D222" s="147">
        <v>0.92743105950653126</v>
      </c>
      <c r="E222" s="148">
        <v>1.287753056353104E-5</v>
      </c>
      <c r="F222" s="148">
        <v>0.16800000000000001</v>
      </c>
      <c r="G222" s="147">
        <v>0.92742112301884227</v>
      </c>
      <c r="H222" s="148">
        <v>0.22828992201983014</v>
      </c>
      <c r="I222" s="147">
        <v>1.2017740204277514</v>
      </c>
    </row>
    <row r="223" spans="1:9">
      <c r="A223" s="81">
        <v>220</v>
      </c>
      <c r="B223" s="145" t="s">
        <v>626</v>
      </c>
      <c r="C223" s="146">
        <v>13</v>
      </c>
      <c r="D223" s="147">
        <v>1.1777939042089987</v>
      </c>
      <c r="E223" s="148">
        <v>2.2564646760140125E-2</v>
      </c>
      <c r="F223" s="148">
        <v>0.24006923076923076</v>
      </c>
      <c r="G223" s="147">
        <v>1.1579380806451405</v>
      </c>
      <c r="H223" s="148">
        <v>6.4973988281491979E-2</v>
      </c>
      <c r="I223" s="147">
        <v>1.238401997519766</v>
      </c>
    </row>
    <row r="224" spans="1:9">
      <c r="A224" s="81">
        <v>221</v>
      </c>
      <c r="B224" s="145" t="s">
        <v>627</v>
      </c>
      <c r="C224" s="146">
        <v>106</v>
      </c>
      <c r="D224" s="147">
        <v>1.5289632746045456</v>
      </c>
      <c r="E224" s="148">
        <v>0.18374576681825941</v>
      </c>
      <c r="F224" s="148">
        <v>0.18293207547169818</v>
      </c>
      <c r="G224" s="147">
        <v>1.3293797997776975</v>
      </c>
      <c r="H224" s="148">
        <v>3.8930539092492007E-2</v>
      </c>
      <c r="I224" s="147">
        <v>1.3832296767836172</v>
      </c>
    </row>
    <row r="225" spans="1:9">
      <c r="A225" s="81">
        <v>222</v>
      </c>
      <c r="B225" s="145" t="s">
        <v>846</v>
      </c>
      <c r="C225" s="146">
        <v>9</v>
      </c>
      <c r="D225" s="147">
        <v>1.4951015965166909</v>
      </c>
      <c r="E225" s="148">
        <v>0.8222061344974666</v>
      </c>
      <c r="F225" s="148">
        <v>0.21862222222222222</v>
      </c>
      <c r="G225" s="147">
        <v>0.91028543787755223</v>
      </c>
      <c r="H225" s="148">
        <v>5.6116868287784429E-2</v>
      </c>
      <c r="I225" s="147">
        <v>0.96440481590796445</v>
      </c>
    </row>
    <row r="226" spans="1:9">
      <c r="A226" s="81">
        <v>223</v>
      </c>
      <c r="B226" s="145" t="s">
        <v>628</v>
      </c>
      <c r="C226" s="146">
        <v>15</v>
      </c>
      <c r="D226" s="147">
        <v>1.0739235607160136</v>
      </c>
      <c r="E226" s="148">
        <v>0.26530182311809414</v>
      </c>
      <c r="F226" s="148">
        <v>0.16111999999999999</v>
      </c>
      <c r="G226" s="147">
        <v>0.87842455900893412</v>
      </c>
      <c r="H226" s="148">
        <v>6.8521553825591677E-2</v>
      </c>
      <c r="I226" s="147">
        <v>0.9430433550197892</v>
      </c>
    </row>
    <row r="227" spans="1:9">
      <c r="A227" s="81">
        <v>224</v>
      </c>
      <c r="B227" s="145" t="s">
        <v>629</v>
      </c>
      <c r="C227" s="146">
        <v>40</v>
      </c>
      <c r="D227" s="147">
        <v>1.4972009122952517</v>
      </c>
      <c r="E227" s="148">
        <v>0.1680966026481151</v>
      </c>
      <c r="F227" s="148">
        <v>0.22007999999999997</v>
      </c>
      <c r="G227" s="147">
        <v>1.3236658069457967</v>
      </c>
      <c r="H227" s="148">
        <v>5.6404603447557732E-2</v>
      </c>
      <c r="I227" s="147">
        <v>1.4027895979378395</v>
      </c>
    </row>
    <row r="228" spans="1:9">
      <c r="A228" s="81">
        <v>225</v>
      </c>
      <c r="B228" s="145" t="s">
        <v>630</v>
      </c>
      <c r="C228" s="146">
        <v>20</v>
      </c>
      <c r="D228" s="147">
        <v>1.1847397885133737</v>
      </c>
      <c r="E228" s="148">
        <v>6.4210603570866429E-2</v>
      </c>
      <c r="F228" s="148">
        <v>0.14532500000000001</v>
      </c>
      <c r="G228" s="147">
        <v>1.1231047035537733</v>
      </c>
      <c r="H228" s="148">
        <v>8.1446546327862149E-2</v>
      </c>
      <c r="I228" s="147">
        <v>1.2226884554882385</v>
      </c>
    </row>
    <row r="229" spans="1:9">
      <c r="A229" s="81">
        <v>226</v>
      </c>
      <c r="B229" s="145" t="s">
        <v>631</v>
      </c>
      <c r="C229" s="146">
        <v>47</v>
      </c>
      <c r="D229" s="147">
        <v>1.529995162070634</v>
      </c>
      <c r="E229" s="148">
        <v>3.4937252836881198E-2</v>
      </c>
      <c r="F229" s="148">
        <v>0.25607021276595737</v>
      </c>
      <c r="G229" s="147">
        <v>1.4912366348890365</v>
      </c>
      <c r="H229" s="148">
        <v>7.9133027373594553E-2</v>
      </c>
      <c r="I229" s="147">
        <v>1.619383341152826</v>
      </c>
    </row>
    <row r="230" spans="1:9">
      <c r="A230" s="81">
        <v>227</v>
      </c>
      <c r="B230" s="145" t="s">
        <v>632</v>
      </c>
      <c r="C230" s="146">
        <v>31</v>
      </c>
      <c r="D230" s="147">
        <v>1.2499481650425046</v>
      </c>
      <c r="E230" s="148">
        <v>4.0611167802821917E-2</v>
      </c>
      <c r="F230" s="148">
        <v>0.23212580645161288</v>
      </c>
      <c r="G230" s="147">
        <v>1.2121482107163579</v>
      </c>
      <c r="H230" s="148">
        <v>2.7986933253835364E-2</v>
      </c>
      <c r="I230" s="147">
        <v>1.2470492961314308</v>
      </c>
    </row>
    <row r="231" spans="1:9">
      <c r="A231" s="81">
        <v>228</v>
      </c>
      <c r="B231" s="145" t="s">
        <v>633</v>
      </c>
      <c r="C231" s="146">
        <v>9</v>
      </c>
      <c r="D231" s="147">
        <v>1.2053701015965168</v>
      </c>
      <c r="E231" s="148">
        <v>2.6922863166995601E-3</v>
      </c>
      <c r="F231" s="148">
        <v>0.24326666666666666</v>
      </c>
      <c r="G231" s="147">
        <v>1.2029193425365545</v>
      </c>
      <c r="H231" s="148">
        <v>2.7160601172908999E-2</v>
      </c>
      <c r="I231" s="147">
        <v>1.2365035215338325</v>
      </c>
    </row>
    <row r="232" spans="1:9">
      <c r="A232" s="81">
        <v>229</v>
      </c>
      <c r="B232" s="145" t="s">
        <v>634</v>
      </c>
      <c r="C232" s="146">
        <v>70</v>
      </c>
      <c r="D232" s="147">
        <v>1.2120790260951988</v>
      </c>
      <c r="E232" s="148">
        <v>0.14010216894175531</v>
      </c>
      <c r="F232" s="148">
        <v>0.16745000000000002</v>
      </c>
      <c r="G232" s="147">
        <v>1.0854678224089369</v>
      </c>
      <c r="H232" s="148">
        <v>-6.9489589850763381E-2</v>
      </c>
      <c r="I232" s="147">
        <v>1.0149400543117049</v>
      </c>
    </row>
    <row r="233" spans="1:9">
      <c r="A233" s="81">
        <v>230</v>
      </c>
      <c r="B233" s="145" t="s">
        <v>635</v>
      </c>
      <c r="C233" s="146">
        <v>4</v>
      </c>
      <c r="D233" s="147">
        <v>0.72496371552975336</v>
      </c>
      <c r="E233" s="148">
        <v>0.10659675217403033</v>
      </c>
      <c r="F233" s="148">
        <v>0.14427500000000001</v>
      </c>
      <c r="G233" s="147">
        <v>0.6643622483207352</v>
      </c>
      <c r="H233" s="148">
        <v>0.1673941760917832</v>
      </c>
      <c r="I233" s="147">
        <v>0.79793130103540078</v>
      </c>
    </row>
    <row r="234" spans="1:9">
      <c r="A234" s="81">
        <v>231</v>
      </c>
      <c r="B234" s="145" t="s">
        <v>636</v>
      </c>
      <c r="C234" s="146">
        <v>3</v>
      </c>
      <c r="D234" s="147">
        <v>1.567489114658926</v>
      </c>
      <c r="E234" s="148">
        <v>6.2296298340305452</v>
      </c>
      <c r="F234" s="148">
        <v>0.15583333333333335</v>
      </c>
      <c r="G234" s="147">
        <v>0.25044379616220092</v>
      </c>
      <c r="H234" s="148">
        <v>0.17118864511074094</v>
      </c>
      <c r="I234" s="147">
        <v>0.302172255103411</v>
      </c>
    </row>
    <row r="235" spans="1:9">
      <c r="A235" s="81">
        <v>232</v>
      </c>
      <c r="B235" s="145" t="s">
        <v>637</v>
      </c>
      <c r="C235" s="146">
        <v>30</v>
      </c>
      <c r="D235" s="147">
        <v>1.2729196903725206</v>
      </c>
      <c r="E235" s="148">
        <v>0.16657179234300143</v>
      </c>
      <c r="F235" s="148">
        <v>9.7390000000000004E-2</v>
      </c>
      <c r="G235" s="147">
        <v>1.1065505215747602</v>
      </c>
      <c r="H235" s="148">
        <v>5.0816617408865429E-2</v>
      </c>
      <c r="I235" s="147">
        <v>1.1657921344493367</v>
      </c>
    </row>
    <row r="236" spans="1:9">
      <c r="A236" s="81">
        <v>233</v>
      </c>
      <c r="B236" s="145" t="s">
        <v>638</v>
      </c>
      <c r="C236" s="146">
        <v>19</v>
      </c>
      <c r="D236" s="147">
        <v>1.2288909758388116</v>
      </c>
      <c r="E236" s="148">
        <v>9.0466912022181836E-2</v>
      </c>
      <c r="F236" s="148">
        <v>0.15379473684210529</v>
      </c>
      <c r="G236" s="147">
        <v>1.1415047072298035</v>
      </c>
      <c r="H236" s="148">
        <v>3.7017390074610024E-2</v>
      </c>
      <c r="I236" s="147">
        <v>1.1853845494865634</v>
      </c>
    </row>
    <row r="237" spans="1:9">
      <c r="A237" s="81">
        <v>234</v>
      </c>
      <c r="B237" s="145" t="s">
        <v>640</v>
      </c>
      <c r="C237" s="146">
        <v>96</v>
      </c>
      <c r="D237" s="147">
        <v>1.1735344229191649</v>
      </c>
      <c r="E237" s="148">
        <v>1.3696762442547999E-2</v>
      </c>
      <c r="F237" s="148">
        <v>9.9979166666666675E-2</v>
      </c>
      <c r="G237" s="147">
        <v>1.1592439915214605</v>
      </c>
      <c r="H237" s="148">
        <v>0.11919681327644333</v>
      </c>
      <c r="I237" s="147">
        <v>1.3161214775274122</v>
      </c>
    </row>
    <row r="238" spans="1:9">
      <c r="A238" s="81">
        <v>235</v>
      </c>
      <c r="B238" s="145" t="s">
        <v>639</v>
      </c>
      <c r="C238" s="146">
        <v>4</v>
      </c>
      <c r="D238" s="147">
        <v>0.68069666182873734</v>
      </c>
      <c r="E238" s="148">
        <v>1.7003470617167516E-3</v>
      </c>
      <c r="F238" s="148">
        <v>0.186775</v>
      </c>
      <c r="G238" s="147">
        <v>0.67975671820752182</v>
      </c>
      <c r="H238" s="148">
        <v>0.18527161545443374</v>
      </c>
      <c r="I238" s="147">
        <v>0.8343353823209092</v>
      </c>
    </row>
    <row r="239" spans="1:9">
      <c r="A239" s="81">
        <v>236</v>
      </c>
      <c r="B239" s="145" t="s">
        <v>641</v>
      </c>
      <c r="C239" s="146">
        <v>24</v>
      </c>
      <c r="D239" s="147">
        <v>1.1611030478955007</v>
      </c>
      <c r="E239" s="148">
        <v>0.31855113588159334</v>
      </c>
      <c r="F239" s="148">
        <v>0.26076666666666665</v>
      </c>
      <c r="G239" s="147">
        <v>0.93979639306032958</v>
      </c>
      <c r="H239" s="148">
        <v>0.13010683562907649</v>
      </c>
      <c r="I239" s="147">
        <v>1.0803584067015375</v>
      </c>
    </row>
    <row r="240" spans="1:9">
      <c r="A240" s="81">
        <v>237</v>
      </c>
      <c r="B240" s="145" t="s">
        <v>642</v>
      </c>
      <c r="C240" s="146">
        <v>7</v>
      </c>
      <c r="D240" s="147">
        <v>1.03711382956666</v>
      </c>
      <c r="E240" s="148">
        <v>0.24058955196744253</v>
      </c>
      <c r="F240" s="148">
        <v>0.21712857142857142</v>
      </c>
      <c r="G240" s="147">
        <v>0.87273381634596414</v>
      </c>
      <c r="H240" s="148">
        <v>6.9683869455546471E-2</v>
      </c>
      <c r="I240" s="147">
        <v>0.93810457294254357</v>
      </c>
    </row>
    <row r="241" spans="1:9">
      <c r="A241" s="81">
        <v>238</v>
      </c>
      <c r="B241" s="145" t="s">
        <v>643</v>
      </c>
      <c r="C241" s="146">
        <v>37</v>
      </c>
      <c r="D241" s="147">
        <v>1.6042133966662269</v>
      </c>
      <c r="E241" s="148">
        <v>0.10513675894727602</v>
      </c>
      <c r="F241" s="148">
        <v>0.16036216216216212</v>
      </c>
      <c r="G241" s="147">
        <v>1.474085816449864</v>
      </c>
      <c r="H241" s="148">
        <v>9.1529470718615571E-2</v>
      </c>
      <c r="I241" s="147">
        <v>1.6226016903552072</v>
      </c>
    </row>
    <row r="242" spans="1:9">
      <c r="A242" s="81">
        <v>239</v>
      </c>
      <c r="B242" s="145" t="s">
        <v>644</v>
      </c>
      <c r="C242" s="146">
        <v>29</v>
      </c>
      <c r="D242" s="147">
        <v>1.9023756779466812</v>
      </c>
      <c r="E242" s="148">
        <v>0.12873129301329245</v>
      </c>
      <c r="F242" s="148">
        <v>0.20028620689655169</v>
      </c>
      <c r="G242" s="147">
        <v>1.7248096457419451</v>
      </c>
      <c r="H242" s="148">
        <v>5.443230202736863E-2</v>
      </c>
      <c r="I242" s="147">
        <v>1.8240995852968194</v>
      </c>
    </row>
    <row r="243" spans="1:9">
      <c r="A243" s="81">
        <v>240</v>
      </c>
      <c r="B243" s="145" t="s">
        <v>645</v>
      </c>
      <c r="C243" s="146">
        <v>8</v>
      </c>
      <c r="D243" s="147">
        <v>1.3860667634252541</v>
      </c>
      <c r="E243" s="148">
        <v>8.6524161240098582E-2</v>
      </c>
      <c r="F243" s="148">
        <v>0.20131250000000006</v>
      </c>
      <c r="G243" s="147">
        <v>1.2964730033883054</v>
      </c>
      <c r="H243" s="148">
        <v>0.11275852465859128</v>
      </c>
      <c r="I243" s="147">
        <v>1.4612403042693931</v>
      </c>
    </row>
    <row r="244" spans="1:9">
      <c r="A244" s="81">
        <v>241</v>
      </c>
      <c r="B244" s="145" t="s">
        <v>847</v>
      </c>
      <c r="C244" s="146">
        <v>156</v>
      </c>
      <c r="D244" s="147">
        <v>0.90804478540327604</v>
      </c>
      <c r="E244" s="148">
        <v>8.4710647282796502E-5</v>
      </c>
      <c r="F244" s="148">
        <v>9.4702564102564085E-2</v>
      </c>
      <c r="G244" s="147">
        <v>0.90797515430339626</v>
      </c>
      <c r="H244" s="148">
        <v>8.8441651289388218E-2</v>
      </c>
      <c r="I244" s="147">
        <v>0.99606915518651773</v>
      </c>
    </row>
    <row r="245" spans="1:9">
      <c r="A245" s="81">
        <v>242</v>
      </c>
      <c r="B245" s="145" t="s">
        <v>646</v>
      </c>
      <c r="C245" s="146">
        <v>6</v>
      </c>
      <c r="D245" s="147">
        <v>1.5575713594581517</v>
      </c>
      <c r="E245" s="148">
        <v>8.6423556170313165E-2</v>
      </c>
      <c r="F245" s="148">
        <v>0.12781666666666666</v>
      </c>
      <c r="G245" s="147">
        <v>1.4483953916363519</v>
      </c>
      <c r="H245" s="148">
        <v>0.10228747877923099</v>
      </c>
      <c r="I245" s="147">
        <v>1.6134289735278815</v>
      </c>
    </row>
    <row r="246" spans="1:9">
      <c r="A246" s="81">
        <v>243</v>
      </c>
      <c r="B246" s="145" t="s">
        <v>647</v>
      </c>
      <c r="C246" s="146">
        <v>4</v>
      </c>
      <c r="D246" s="147">
        <v>0.92343976777939052</v>
      </c>
      <c r="E246" s="148">
        <v>1.6574943756017476E-3</v>
      </c>
      <c r="F246" s="148">
        <v>0.21237499999999998</v>
      </c>
      <c r="G246" s="147">
        <v>0.92223580368645719</v>
      </c>
      <c r="H246" s="148">
        <v>0.23459247672159311</v>
      </c>
      <c r="I246" s="147">
        <v>1.2048951383915338</v>
      </c>
    </row>
    <row r="247" spans="1:9">
      <c r="A247" s="81">
        <v>244</v>
      </c>
      <c r="B247" s="145" t="s">
        <v>648</v>
      </c>
      <c r="C247" s="146">
        <v>3</v>
      </c>
      <c r="D247" s="147">
        <v>1.7261731978713115</v>
      </c>
      <c r="E247" s="148">
        <v>0.39148834678093786</v>
      </c>
      <c r="F247" s="148">
        <v>0.1119</v>
      </c>
      <c r="G247" s="147">
        <v>1.2808472131362121</v>
      </c>
      <c r="H247" s="148">
        <v>7.7588122087105582E-2</v>
      </c>
      <c r="I247" s="147">
        <v>1.3885849085490263</v>
      </c>
    </row>
    <row r="248" spans="1:9">
      <c r="A248" s="81">
        <v>245</v>
      </c>
      <c r="B248" s="145" t="s">
        <v>649</v>
      </c>
      <c r="C248" s="146">
        <v>58</v>
      </c>
      <c r="D248" s="147">
        <v>1.5881926065055922</v>
      </c>
      <c r="E248" s="148">
        <v>0.1226893010941208</v>
      </c>
      <c r="F248" s="148">
        <v>0.21432068965517242</v>
      </c>
      <c r="G248" s="147">
        <v>1.4485595152977164</v>
      </c>
      <c r="H248" s="148">
        <v>9.1556633730771872E-2</v>
      </c>
      <c r="I248" s="147">
        <v>1.5945512610726889</v>
      </c>
    </row>
    <row r="249" spans="1:9">
      <c r="A249" s="81">
        <v>246</v>
      </c>
      <c r="B249" s="145" t="s">
        <v>650</v>
      </c>
      <c r="C249" s="146">
        <v>53</v>
      </c>
      <c r="D249" s="147">
        <v>1.4584355137380514</v>
      </c>
      <c r="E249" s="148">
        <v>1.39725433616044E-2</v>
      </c>
      <c r="F249" s="148">
        <v>0.21214150943396215</v>
      </c>
      <c r="G249" s="147">
        <v>1.4425553067644545</v>
      </c>
      <c r="H249" s="148">
        <v>4.2517670683482132E-2</v>
      </c>
      <c r="I249" s="147">
        <v>1.5066129813530842</v>
      </c>
    </row>
    <row r="250" spans="1:9">
      <c r="A250" s="81">
        <v>247</v>
      </c>
      <c r="B250" s="145" t="s">
        <v>651</v>
      </c>
      <c r="C250" s="146">
        <v>12</v>
      </c>
      <c r="D250" s="147">
        <v>2.1785195936139337</v>
      </c>
      <c r="E250" s="148">
        <v>1.8212562647730811E-3</v>
      </c>
      <c r="F250" s="148">
        <v>0.17772499999999999</v>
      </c>
      <c r="G250" s="147">
        <v>2.1752619789293548</v>
      </c>
      <c r="H250" s="148">
        <v>9.1756722429934087E-2</v>
      </c>
      <c r="I250" s="147">
        <v>2.3950212819070882</v>
      </c>
    </row>
    <row r="251" spans="1:9">
      <c r="A251" s="81">
        <v>248</v>
      </c>
      <c r="B251" s="145" t="s">
        <v>652</v>
      </c>
      <c r="C251" s="146">
        <v>91</v>
      </c>
      <c r="D251" s="147">
        <v>1.3075310433801</v>
      </c>
      <c r="E251" s="148">
        <v>0.40577929233660986</v>
      </c>
      <c r="F251" s="148">
        <v>0.18726593406593403</v>
      </c>
      <c r="G251" s="147">
        <v>0.98326081576577107</v>
      </c>
      <c r="H251" s="148">
        <v>0.10797845883739704</v>
      </c>
      <c r="I251" s="147">
        <v>1.1022837122119864</v>
      </c>
    </row>
    <row r="252" spans="1:9">
      <c r="A252" s="81">
        <v>249</v>
      </c>
      <c r="B252" s="145" t="s">
        <v>654</v>
      </c>
      <c r="C252" s="146">
        <v>38</v>
      </c>
      <c r="D252" s="147">
        <v>1.7068978687648002</v>
      </c>
      <c r="E252" s="148">
        <v>0.1041971324780829</v>
      </c>
      <c r="F252" s="148">
        <v>0.13061315789473685</v>
      </c>
      <c r="G252" s="147">
        <v>1.5651175969570041</v>
      </c>
      <c r="H252" s="148">
        <v>0.10339774866330198</v>
      </c>
      <c r="I252" s="147">
        <v>1.7456097111329478</v>
      </c>
    </row>
    <row r="253" spans="1:9">
      <c r="A253" s="81">
        <v>250</v>
      </c>
      <c r="B253" s="145" t="s">
        <v>653</v>
      </c>
      <c r="C253" s="146">
        <v>7</v>
      </c>
      <c r="D253" s="147">
        <v>1.6828737300435412</v>
      </c>
      <c r="E253" s="148">
        <v>7.3782648024580267E-4</v>
      </c>
      <c r="F253" s="148">
        <v>0.22758571428571428</v>
      </c>
      <c r="G253" s="147">
        <v>1.6819151936008849</v>
      </c>
      <c r="H253" s="148">
        <v>3.2609665787723716E-2</v>
      </c>
      <c r="I253" s="147">
        <v>1.7386107077144097</v>
      </c>
    </row>
    <row r="254" spans="1:9">
      <c r="A254" s="81">
        <v>251</v>
      </c>
      <c r="B254" s="145" t="s">
        <v>655</v>
      </c>
      <c r="C254" s="146">
        <v>8</v>
      </c>
      <c r="D254" s="147">
        <v>0.73211693966410951</v>
      </c>
      <c r="E254" s="148">
        <v>2.7443081050232767E-2</v>
      </c>
      <c r="F254" s="148">
        <v>0.13853750000000001</v>
      </c>
      <c r="G254" s="147">
        <v>0.71520856159618273</v>
      </c>
      <c r="H254" s="148">
        <v>6.9575118501156191E-2</v>
      </c>
      <c r="I254" s="147">
        <v>0.76869027883695029</v>
      </c>
    </row>
    <row r="255" spans="1:9">
      <c r="A255" s="81">
        <v>252</v>
      </c>
      <c r="B255" s="145" t="s">
        <v>656</v>
      </c>
      <c r="C255" s="146">
        <v>113</v>
      </c>
      <c r="D255" s="147">
        <v>1.1614578293823579</v>
      </c>
      <c r="E255" s="148">
        <v>0.38601439383308561</v>
      </c>
      <c r="F255" s="148">
        <v>0.18460176991150445</v>
      </c>
      <c r="G255" s="147">
        <v>0.8834021766349186</v>
      </c>
      <c r="H255" s="148">
        <v>4.8540957628884683E-2</v>
      </c>
      <c r="I255" s="147">
        <v>0.92847105055978729</v>
      </c>
    </row>
    <row r="256" spans="1:9">
      <c r="A256" s="81">
        <v>253</v>
      </c>
      <c r="B256" s="145" t="s">
        <v>657</v>
      </c>
      <c r="C256" s="146">
        <v>29</v>
      </c>
      <c r="D256" s="147">
        <v>1.1984155781325592</v>
      </c>
      <c r="E256" s="148">
        <v>0.4608598449431463</v>
      </c>
      <c r="F256" s="148">
        <v>0.1660620689655172</v>
      </c>
      <c r="G256" s="147">
        <v>0.8657017270787678</v>
      </c>
      <c r="H256" s="148">
        <v>6.6680633394837333E-2</v>
      </c>
      <c r="I256" s="147">
        <v>0.92755144493321084</v>
      </c>
    </row>
    <row r="257" spans="1:9">
      <c r="A257" s="81">
        <v>254</v>
      </c>
      <c r="B257" s="145" t="s">
        <v>848</v>
      </c>
      <c r="C257" s="146">
        <v>3</v>
      </c>
      <c r="D257" s="147">
        <v>1.3933236574746011</v>
      </c>
      <c r="E257" s="148">
        <v>2.4555640884974953E-3</v>
      </c>
      <c r="F257" s="148">
        <v>1.4133333333333333E-2</v>
      </c>
      <c r="G257" s="147">
        <v>1.3899587635941446</v>
      </c>
      <c r="H257" s="148">
        <v>3.283568685919738E-5</v>
      </c>
      <c r="I257" s="147">
        <v>1.3900044053435314</v>
      </c>
    </row>
    <row r="258" spans="1:9">
      <c r="A258" s="81">
        <v>255</v>
      </c>
      <c r="B258" s="145" t="s">
        <v>658</v>
      </c>
      <c r="C258" s="146">
        <v>74</v>
      </c>
      <c r="D258" s="147">
        <v>1.3340163351262133</v>
      </c>
      <c r="E258" s="148">
        <v>0.24224602886935176</v>
      </c>
      <c r="F258" s="148">
        <v>0.19061216216216215</v>
      </c>
      <c r="G258" s="147">
        <v>1.1153320720945625</v>
      </c>
      <c r="H258" s="148">
        <v>4.717183995892376E-2</v>
      </c>
      <c r="I258" s="147">
        <v>1.1705490232850388</v>
      </c>
    </row>
    <row r="259" spans="1:9">
      <c r="A259" s="81">
        <v>256</v>
      </c>
      <c r="B259" s="145" t="s">
        <v>849</v>
      </c>
      <c r="C259" s="146">
        <v>4</v>
      </c>
      <c r="D259" s="147" t="s">
        <v>453</v>
      </c>
      <c r="E259" s="148">
        <v>3.0471263793741613E-2</v>
      </c>
      <c r="F259" s="148">
        <v>0.14235</v>
      </c>
      <c r="G259" s="147" t="s">
        <v>453</v>
      </c>
      <c r="H259" s="148">
        <v>7.1933947622639903E-3</v>
      </c>
      <c r="I259" s="147" t="s">
        <v>453</v>
      </c>
    </row>
    <row r="260" spans="1:9">
      <c r="A260" s="81">
        <v>257</v>
      </c>
      <c r="B260" s="145" t="s">
        <v>659</v>
      </c>
      <c r="C260" s="146">
        <v>14</v>
      </c>
      <c r="D260" s="147">
        <v>1.5634575068537335</v>
      </c>
      <c r="E260" s="148">
        <v>0.29648795038816139</v>
      </c>
      <c r="F260" s="148">
        <v>0.11312857142857144</v>
      </c>
      <c r="G260" s="147">
        <v>1.2379441797622723</v>
      </c>
      <c r="H260" s="148">
        <v>0.13033050886634764</v>
      </c>
      <c r="I260" s="147">
        <v>1.4234651121871111</v>
      </c>
    </row>
    <row r="261" spans="1:9">
      <c r="A261" s="81">
        <v>258</v>
      </c>
      <c r="B261" s="145" t="s">
        <v>850</v>
      </c>
      <c r="C261" s="146">
        <v>1</v>
      </c>
      <c r="D261" s="147">
        <v>1.2975326560232221</v>
      </c>
      <c r="E261" s="148">
        <v>2.7077593367978377E-2</v>
      </c>
      <c r="F261" s="148">
        <v>6.6299999999999998E-2</v>
      </c>
      <c r="G261" s="147">
        <v>1.2655369102767455</v>
      </c>
      <c r="H261" s="148">
        <v>3.7544727726250185E-2</v>
      </c>
      <c r="I261" s="147">
        <v>1.3149046472434831</v>
      </c>
    </row>
    <row r="262" spans="1:9">
      <c r="A262" s="81">
        <v>259</v>
      </c>
      <c r="B262" s="145" t="s">
        <v>660</v>
      </c>
      <c r="C262" s="146">
        <v>16</v>
      </c>
      <c r="D262" s="147">
        <v>1.4193448061372593</v>
      </c>
      <c r="E262" s="148">
        <v>7.8297090792121465E-2</v>
      </c>
      <c r="F262" s="148">
        <v>0.24154374999999995</v>
      </c>
      <c r="G262" s="147">
        <v>1.3397819642302797</v>
      </c>
      <c r="H262" s="148">
        <v>0.12712987252477548</v>
      </c>
      <c r="I262" s="147">
        <v>1.5349155871625451</v>
      </c>
    </row>
    <row r="263" spans="1:9">
      <c r="A263" s="81">
        <v>260</v>
      </c>
      <c r="B263" s="145" t="s">
        <v>661</v>
      </c>
      <c r="C263" s="146">
        <v>5</v>
      </c>
      <c r="D263" s="147">
        <v>1.7480406386066765</v>
      </c>
      <c r="E263" s="148">
        <v>3.3314619239887509E-3</v>
      </c>
      <c r="F263" s="148">
        <v>0.22492000000000001</v>
      </c>
      <c r="G263" s="147">
        <v>1.743538561368182</v>
      </c>
      <c r="H263" s="148">
        <v>5.8661281733356038E-2</v>
      </c>
      <c r="I263" s="147">
        <v>1.8521904257573591</v>
      </c>
    </row>
    <row r="264" spans="1:9">
      <c r="A264" s="81">
        <v>261</v>
      </c>
      <c r="B264" s="145" t="s">
        <v>662</v>
      </c>
      <c r="C264" s="146">
        <v>6</v>
      </c>
      <c r="D264" s="147">
        <v>1.1816642477019836</v>
      </c>
      <c r="E264" s="148">
        <v>5.7703627412555414E-2</v>
      </c>
      <c r="F264" s="148">
        <v>0.22183333333333333</v>
      </c>
      <c r="G264" s="147">
        <v>1.130884113785855</v>
      </c>
      <c r="H264" s="148">
        <v>6.2935784153901275E-2</v>
      </c>
      <c r="I264" s="147">
        <v>1.2068373700139126</v>
      </c>
    </row>
    <row r="265" spans="1:9">
      <c r="A265" s="81">
        <v>262</v>
      </c>
      <c r="B265" s="145" t="s">
        <v>663</v>
      </c>
      <c r="C265" s="146">
        <v>17</v>
      </c>
      <c r="D265" s="147">
        <v>1.0572085147556847</v>
      </c>
      <c r="E265" s="148">
        <v>0.18306187857929959</v>
      </c>
      <c r="F265" s="148">
        <v>0.15129999999999999</v>
      </c>
      <c r="G265" s="147">
        <v>0.91504318186181099</v>
      </c>
      <c r="H265" s="148">
        <v>0.11897432617482828</v>
      </c>
      <c r="I265" s="147">
        <v>1.0386112562292817</v>
      </c>
    </row>
    <row r="266" spans="1:9">
      <c r="A266" s="81">
        <v>263</v>
      </c>
      <c r="B266" s="145" t="s">
        <v>664</v>
      </c>
      <c r="C266" s="146">
        <v>84</v>
      </c>
      <c r="D266" s="147">
        <v>1.4681376995645867</v>
      </c>
      <c r="E266" s="148">
        <v>5.647815800620605E-2</v>
      </c>
      <c r="F266" s="148">
        <v>0.17234285714285713</v>
      </c>
      <c r="G266" s="147">
        <v>1.4025749628382072</v>
      </c>
      <c r="H266" s="148">
        <v>4.3359947969752587E-2</v>
      </c>
      <c r="I266" s="147">
        <v>1.466147021402215</v>
      </c>
    </row>
    <row r="267" spans="1:9">
      <c r="A267" s="81">
        <v>264</v>
      </c>
      <c r="B267" s="145" t="s">
        <v>665</v>
      </c>
      <c r="C267" s="146">
        <v>3</v>
      </c>
      <c r="D267" s="147">
        <v>1.5224963715529753</v>
      </c>
      <c r="E267" s="148">
        <v>0.29066270158724916</v>
      </c>
      <c r="F267" s="148">
        <v>5.3366666666666673E-2</v>
      </c>
      <c r="G267" s="147">
        <v>1.1939733953629448</v>
      </c>
      <c r="H267" s="148">
        <v>1.1091191493855937E-2</v>
      </c>
      <c r="I267" s="147">
        <v>1.2073645063052614</v>
      </c>
    </row>
    <row r="268" spans="1:9">
      <c r="A268" s="81">
        <v>265</v>
      </c>
      <c r="B268" s="145" t="s">
        <v>666</v>
      </c>
      <c r="C268" s="146">
        <v>21</v>
      </c>
      <c r="D268" s="147">
        <v>1.1552121574319134</v>
      </c>
      <c r="E268" s="148">
        <v>5.4354158553738411E-5</v>
      </c>
      <c r="F268" s="148">
        <v>0.21842857142857147</v>
      </c>
      <c r="G268" s="147">
        <v>1.1551630841895879</v>
      </c>
      <c r="H268" s="148">
        <v>6.531119591131733E-2</v>
      </c>
      <c r="I268" s="147">
        <v>1.2358798769563379</v>
      </c>
    </row>
    <row r="269" spans="1:9">
      <c r="A269" s="81">
        <v>266</v>
      </c>
      <c r="B269" s="145" t="s">
        <v>667</v>
      </c>
      <c r="C269" s="146">
        <v>4</v>
      </c>
      <c r="D269" s="147">
        <v>0.46008708272859217</v>
      </c>
      <c r="E269" s="148">
        <v>5.3031486980271339E-2</v>
      </c>
      <c r="F269" s="148">
        <v>3.4999999999999996E-3</v>
      </c>
      <c r="G269" s="147">
        <v>0.43699376411819157</v>
      </c>
      <c r="H269" s="148">
        <v>1.5664300964179225E-2</v>
      </c>
      <c r="I269" s="147">
        <v>0.44394789759859055</v>
      </c>
    </row>
    <row r="270" spans="1:9">
      <c r="A270" s="81">
        <v>267</v>
      </c>
      <c r="B270" s="145" t="s">
        <v>668</v>
      </c>
      <c r="C270" s="146">
        <v>3</v>
      </c>
      <c r="D270" s="147">
        <v>0.45476536042573779</v>
      </c>
      <c r="E270" s="148">
        <v>9.8902130219272244E-2</v>
      </c>
      <c r="F270" s="148">
        <v>1.7533333333333331E-2</v>
      </c>
      <c r="G270" s="147">
        <v>0.4144901612835481</v>
      </c>
      <c r="H270" s="148">
        <v>2.1894872582036918E-2</v>
      </c>
      <c r="I270" s="147">
        <v>0.42376851901158524</v>
      </c>
    </row>
    <row r="271" spans="1:9">
      <c r="A271" s="81">
        <v>268</v>
      </c>
      <c r="B271" s="145" t="s">
        <v>669</v>
      </c>
      <c r="C271" s="146">
        <v>53</v>
      </c>
      <c r="D271" s="147">
        <v>1.2867855415025229</v>
      </c>
      <c r="E271" s="148">
        <v>6.9634467764566089E-3</v>
      </c>
      <c r="F271" s="148">
        <v>0.1882943396226415</v>
      </c>
      <c r="G271" s="147">
        <v>1.2795531626175229</v>
      </c>
      <c r="H271" s="148">
        <v>0.17682021708610049</v>
      </c>
      <c r="I271" s="147">
        <v>1.5544030467902754</v>
      </c>
    </row>
    <row r="272" spans="1:9">
      <c r="A272" s="81">
        <v>269</v>
      </c>
      <c r="B272" s="145" t="s">
        <v>851</v>
      </c>
      <c r="C272" s="146">
        <v>3</v>
      </c>
      <c r="D272" s="147">
        <v>0.779390420899855</v>
      </c>
      <c r="E272" s="148">
        <v>3.9326852106344665E-2</v>
      </c>
      <c r="F272" s="148">
        <v>7.8966666666666671E-2</v>
      </c>
      <c r="G272" s="147">
        <v>0.75214665974016481</v>
      </c>
      <c r="H272" s="148">
        <v>9.0155301373505914E-2</v>
      </c>
      <c r="I272" s="147">
        <v>0.8266758721302756</v>
      </c>
    </row>
    <row r="273" spans="1:9">
      <c r="A273" s="81">
        <v>270</v>
      </c>
      <c r="B273" s="145" t="s">
        <v>670</v>
      </c>
      <c r="C273" s="146">
        <v>45</v>
      </c>
      <c r="D273" s="147">
        <v>1.2809181880681384</v>
      </c>
      <c r="E273" s="148">
        <v>0.17087248435437005</v>
      </c>
      <c r="F273" s="148">
        <v>0.2207466666666667</v>
      </c>
      <c r="G273" s="147">
        <v>1.1304018444004291</v>
      </c>
      <c r="H273" s="148">
        <v>6.4634251829045114E-2</v>
      </c>
      <c r="I273" s="147">
        <v>1.2085131902796893</v>
      </c>
    </row>
    <row r="274" spans="1:9">
      <c r="A274" s="81">
        <v>271</v>
      </c>
      <c r="B274" s="145" t="s">
        <v>671</v>
      </c>
      <c r="C274" s="146">
        <v>13</v>
      </c>
      <c r="D274" s="147">
        <v>0.75515239477503626</v>
      </c>
      <c r="E274" s="148">
        <v>5.62807329274143E-3</v>
      </c>
      <c r="F274" s="148">
        <v>0.15590769230769233</v>
      </c>
      <c r="G274" s="147">
        <v>0.7515819196562129</v>
      </c>
      <c r="H274" s="148">
        <v>0.14833200417368345</v>
      </c>
      <c r="I274" s="147">
        <v>0.88248228574915877</v>
      </c>
    </row>
    <row r="275" spans="1:9">
      <c r="A275" s="81">
        <v>272</v>
      </c>
      <c r="B275" s="145" t="s">
        <v>672</v>
      </c>
      <c r="C275" s="146">
        <v>36</v>
      </c>
      <c r="D275" s="147">
        <v>1.0530455545671615</v>
      </c>
      <c r="E275" s="148">
        <v>1.2000032404498153E-3</v>
      </c>
      <c r="F275" s="148">
        <v>0.25199722222222221</v>
      </c>
      <c r="G275" s="147">
        <v>1.0521011824886042</v>
      </c>
      <c r="H275" s="148">
        <v>6.9484276041144905E-2</v>
      </c>
      <c r="I275" s="147">
        <v>1.1306645931918988</v>
      </c>
    </row>
    <row r="276" spans="1:9">
      <c r="A276" s="81">
        <v>273</v>
      </c>
      <c r="B276" s="145" t="s">
        <v>673</v>
      </c>
      <c r="C276" s="146">
        <v>10</v>
      </c>
      <c r="D276" s="147">
        <v>0.90918515446817338</v>
      </c>
      <c r="E276" s="148">
        <v>8.0015256172701249E-2</v>
      </c>
      <c r="F276" s="148">
        <v>0.16191</v>
      </c>
      <c r="G276" s="147">
        <v>0.85204690116565507</v>
      </c>
      <c r="H276" s="148">
        <v>4.2573025566831783E-2</v>
      </c>
      <c r="I276" s="147">
        <v>0.88993408784006522</v>
      </c>
    </row>
    <row r="277" spans="1:9">
      <c r="A277" s="81">
        <v>274</v>
      </c>
      <c r="B277" s="145" t="s">
        <v>852</v>
      </c>
      <c r="C277" s="146">
        <v>4</v>
      </c>
      <c r="D277" s="147">
        <v>1.0188679245283019</v>
      </c>
      <c r="E277" s="148">
        <v>2.0801238338272899E-2</v>
      </c>
      <c r="F277" s="148">
        <v>7.657499999999999E-2</v>
      </c>
      <c r="G277" s="147">
        <v>0.99966595743350894</v>
      </c>
      <c r="H277" s="148">
        <v>8.9328947083910953E-2</v>
      </c>
      <c r="I277" s="147">
        <v>1.0977245342678308</v>
      </c>
    </row>
    <row r="278" spans="1:9">
      <c r="A278" s="81">
        <v>275</v>
      </c>
      <c r="B278" s="145" t="s">
        <v>853</v>
      </c>
      <c r="C278" s="146">
        <v>1</v>
      </c>
      <c r="D278" s="147">
        <v>0.38461538461538469</v>
      </c>
      <c r="E278" s="148">
        <v>0</v>
      </c>
      <c r="F278" s="148">
        <v>0.26579999999999998</v>
      </c>
      <c r="G278" s="147">
        <v>0.38461538461538469</v>
      </c>
      <c r="H278" s="148">
        <v>9.8155423101237246E-2</v>
      </c>
      <c r="I278" s="147">
        <v>0.42647635132207484</v>
      </c>
    </row>
    <row r="279" spans="1:9">
      <c r="A279" s="81">
        <v>276</v>
      </c>
      <c r="B279" s="145" t="s">
        <v>674</v>
      </c>
      <c r="C279" s="146">
        <v>3</v>
      </c>
      <c r="D279" s="147">
        <v>0.75616835994194498</v>
      </c>
      <c r="E279" s="148">
        <v>3.6443952618946236E-2</v>
      </c>
      <c r="F279" s="148">
        <v>6.8066666666666678E-2</v>
      </c>
      <c r="G279" s="147">
        <v>0.73132995619696539</v>
      </c>
      <c r="H279" s="148">
        <v>1.411206858780889E-2</v>
      </c>
      <c r="I279" s="147">
        <v>0.74179826417938244</v>
      </c>
    </row>
    <row r="280" spans="1:9">
      <c r="A280" s="81">
        <v>277</v>
      </c>
      <c r="B280" s="145" t="s">
        <v>675</v>
      </c>
      <c r="C280" s="146">
        <v>64</v>
      </c>
      <c r="D280" s="147">
        <v>1.29744557329463</v>
      </c>
      <c r="E280" s="148">
        <v>0.64893667470858374</v>
      </c>
      <c r="F280" s="148">
        <v>0.17690937499999998</v>
      </c>
      <c r="G280" s="147">
        <v>0.84571871347965366</v>
      </c>
      <c r="H280" s="148">
        <v>5.6120861243785986E-2</v>
      </c>
      <c r="I280" s="147">
        <v>0.89600318383356781</v>
      </c>
    </row>
    <row r="281" spans="1:9">
      <c r="A281" s="81">
        <v>278</v>
      </c>
      <c r="B281" s="145" t="s">
        <v>676</v>
      </c>
      <c r="C281" s="146">
        <v>556</v>
      </c>
      <c r="D281" s="147">
        <v>1.5639976600219188</v>
      </c>
      <c r="E281" s="148">
        <v>0.11912722133882221</v>
      </c>
      <c r="F281" s="148">
        <v>0.19023561151079116</v>
      </c>
      <c r="G281" s="147">
        <v>1.4264000094425968</v>
      </c>
      <c r="H281" s="148">
        <v>6.3027698534720969E-2</v>
      </c>
      <c r="I281" s="147">
        <v>1.5223502415300101</v>
      </c>
    </row>
    <row r="282" spans="1:9">
      <c r="A282" s="81">
        <v>279</v>
      </c>
      <c r="B282" s="145" t="s">
        <v>677</v>
      </c>
      <c r="C282" s="146">
        <v>10</v>
      </c>
      <c r="D282" s="147">
        <v>0.99741977100467671</v>
      </c>
      <c r="E282" s="148">
        <v>8.1347057307778817E-2</v>
      </c>
      <c r="F282" s="148">
        <v>9.8290000000000002E-2</v>
      </c>
      <c r="G282" s="147">
        <v>0.92925738938217839</v>
      </c>
      <c r="H282" s="148">
        <v>3.2882845023427018E-2</v>
      </c>
      <c r="I282" s="147">
        <v>0.96085296864027636</v>
      </c>
    </row>
    <row r="283" spans="1:9">
      <c r="A283" s="81">
        <v>280</v>
      </c>
      <c r="B283" s="145" t="s">
        <v>678</v>
      </c>
      <c r="C283" s="146">
        <v>6</v>
      </c>
      <c r="D283" s="147">
        <v>1.3239477503628447</v>
      </c>
      <c r="E283" s="148">
        <v>7.8696092709652651E-2</v>
      </c>
      <c r="F283" s="148">
        <v>0.12756666666666666</v>
      </c>
      <c r="G283" s="147">
        <v>1.2388892163798915</v>
      </c>
      <c r="H283" s="148">
        <v>6.2726266286622923E-2</v>
      </c>
      <c r="I283" s="147">
        <v>1.3218008483728083</v>
      </c>
    </row>
    <row r="284" spans="1:9">
      <c r="A284" s="81">
        <v>281</v>
      </c>
      <c r="B284" s="145" t="s">
        <v>679</v>
      </c>
      <c r="C284" s="146">
        <v>15</v>
      </c>
      <c r="D284" s="147">
        <v>1.1462264150943398</v>
      </c>
      <c r="E284" s="148">
        <v>0.13879702547647674</v>
      </c>
      <c r="F284" s="148">
        <v>0.17524666666666663</v>
      </c>
      <c r="G284" s="147">
        <v>1.0284915801998278</v>
      </c>
      <c r="H284" s="148">
        <v>0.16756744612060712</v>
      </c>
      <c r="I284" s="147">
        <v>1.235525419334863</v>
      </c>
    </row>
    <row r="285" spans="1:9">
      <c r="A285" s="81">
        <v>282</v>
      </c>
      <c r="B285" s="145" t="s">
        <v>680</v>
      </c>
      <c r="C285" s="146">
        <v>8</v>
      </c>
      <c r="D285" s="147">
        <v>0.95984518626028059</v>
      </c>
      <c r="E285" s="148">
        <v>0</v>
      </c>
      <c r="F285" s="148">
        <v>0.13626250000000001</v>
      </c>
      <c r="G285" s="147">
        <v>0.95984518626028059</v>
      </c>
      <c r="H285" s="148">
        <v>0.11267485123344634</v>
      </c>
      <c r="I285" s="147">
        <v>1.0817288201450563</v>
      </c>
    </row>
    <row r="286" spans="1:9">
      <c r="A286" s="81">
        <v>283</v>
      </c>
      <c r="B286" s="145" t="s">
        <v>854</v>
      </c>
      <c r="C286" s="146">
        <v>2</v>
      </c>
      <c r="D286" s="147">
        <v>0.78229317851959368</v>
      </c>
      <c r="E286" s="148">
        <v>0.94711981916506327</v>
      </c>
      <c r="F286" s="148">
        <v>0.36909999999999998</v>
      </c>
      <c r="G286" s="147">
        <v>0.48968677456802728</v>
      </c>
      <c r="H286" s="148">
        <v>5.3724084543769493E-2</v>
      </c>
      <c r="I286" s="147">
        <v>0.51748836313976487</v>
      </c>
    </row>
    <row r="287" spans="1:9">
      <c r="A287" s="81">
        <v>284</v>
      </c>
      <c r="B287" s="145" t="s">
        <v>681</v>
      </c>
      <c r="C287" s="146">
        <v>6</v>
      </c>
      <c r="D287" s="147">
        <v>1.2924528301886793</v>
      </c>
      <c r="E287" s="148">
        <v>0.42800369274157679</v>
      </c>
      <c r="F287" s="148">
        <v>0.19968333333333335</v>
      </c>
      <c r="G287" s="147">
        <v>0.96269331648291656</v>
      </c>
      <c r="H287" s="148">
        <v>5.2586621113908764E-2</v>
      </c>
      <c r="I287" s="147">
        <v>1.0161280576539784</v>
      </c>
    </row>
    <row r="288" spans="1:9">
      <c r="A288" s="81">
        <v>285</v>
      </c>
      <c r="B288" s="145" t="s">
        <v>855</v>
      </c>
      <c r="C288" s="146">
        <v>1</v>
      </c>
      <c r="D288" s="147">
        <v>2.5471698113207548</v>
      </c>
      <c r="E288" s="148">
        <v>1.9899518801207505E-4</v>
      </c>
      <c r="F288" s="148">
        <v>0</v>
      </c>
      <c r="G288" s="147">
        <v>2.5466630376307777</v>
      </c>
      <c r="H288" s="148">
        <v>9.6663997819446665E-2</v>
      </c>
      <c r="I288" s="147">
        <v>2.8191758454034983</v>
      </c>
    </row>
    <row r="289" spans="1:9">
      <c r="A289" s="81">
        <v>286</v>
      </c>
      <c r="B289" s="145" t="s">
        <v>682</v>
      </c>
      <c r="C289" s="146">
        <v>9</v>
      </c>
      <c r="D289" s="147">
        <v>1.088243831640058</v>
      </c>
      <c r="E289" s="148">
        <v>8.2543360937858204E-2</v>
      </c>
      <c r="F289" s="148">
        <v>5.1155555555555558E-2</v>
      </c>
      <c r="G289" s="147">
        <v>1.0092022912860641</v>
      </c>
      <c r="H289" s="148">
        <v>1.4146670591599146E-2</v>
      </c>
      <c r="I289" s="147">
        <v>1.0236840117907546</v>
      </c>
    </row>
    <row r="290" spans="1:9">
      <c r="A290" s="81">
        <v>287</v>
      </c>
      <c r="B290" s="145" t="s">
        <v>856</v>
      </c>
      <c r="C290" s="146">
        <v>1</v>
      </c>
      <c r="D290" s="147">
        <v>0.63280116110304796</v>
      </c>
      <c r="E290" s="148">
        <v>0</v>
      </c>
      <c r="F290" s="148">
        <v>0.1067</v>
      </c>
      <c r="G290" s="147">
        <v>0.63280116110304796</v>
      </c>
      <c r="H290" s="148">
        <v>0.10686883795798897</v>
      </c>
      <c r="I290" s="147">
        <v>0.70851985463841904</v>
      </c>
    </row>
    <row r="291" spans="1:9">
      <c r="A291" s="81">
        <v>288</v>
      </c>
      <c r="B291" s="145" t="s">
        <v>683</v>
      </c>
      <c r="C291" s="146">
        <v>32</v>
      </c>
      <c r="D291" s="147">
        <v>1.1966963853756307</v>
      </c>
      <c r="E291" s="148">
        <v>1.8699303688663309E-4</v>
      </c>
      <c r="F291" s="148">
        <v>0.21001562499999996</v>
      </c>
      <c r="G291" s="147">
        <v>1.1965196336079948</v>
      </c>
      <c r="H291" s="148">
        <v>9.943848836432434E-2</v>
      </c>
      <c r="I291" s="147">
        <v>1.328637320325599</v>
      </c>
    </row>
    <row r="292" spans="1:9">
      <c r="A292" s="81">
        <v>289</v>
      </c>
      <c r="B292" s="145" t="s">
        <v>684</v>
      </c>
      <c r="C292" s="146">
        <v>4</v>
      </c>
      <c r="D292" s="147">
        <v>1.1487663280116109</v>
      </c>
      <c r="E292" s="148">
        <v>4.2104808114156865E-2</v>
      </c>
      <c r="F292" s="148">
        <v>0.28170000000000006</v>
      </c>
      <c r="G292" s="147">
        <v>1.1150430943799328</v>
      </c>
      <c r="H292" s="148">
        <v>2.7509632018445085E-2</v>
      </c>
      <c r="I292" s="147">
        <v>1.146585232195412</v>
      </c>
    </row>
    <row r="293" spans="1:9">
      <c r="A293" s="81">
        <v>290</v>
      </c>
      <c r="B293" s="145" t="s">
        <v>685</v>
      </c>
      <c r="C293" s="146">
        <v>3</v>
      </c>
      <c r="D293" s="147">
        <v>0.36284470246734396</v>
      </c>
      <c r="E293" s="148">
        <v>0.14090228021607076</v>
      </c>
      <c r="F293" s="148">
        <v>0.21186666666666665</v>
      </c>
      <c r="G293" s="147">
        <v>0.32657825757597009</v>
      </c>
      <c r="H293" s="148">
        <v>5.0919371487306291E-2</v>
      </c>
      <c r="I293" s="147">
        <v>0.34409959255806494</v>
      </c>
    </row>
    <row r="294" spans="1:9">
      <c r="A294" s="81">
        <v>291</v>
      </c>
      <c r="B294" s="145" t="s">
        <v>686</v>
      </c>
      <c r="C294" s="146">
        <v>18</v>
      </c>
      <c r="D294" s="147">
        <v>1.1727140783744558</v>
      </c>
      <c r="E294" s="148">
        <v>0.23046732038448259</v>
      </c>
      <c r="F294" s="148">
        <v>0.27030555555555558</v>
      </c>
      <c r="G294" s="147">
        <v>1.0038892903008436</v>
      </c>
      <c r="H294" s="148">
        <v>7.478696153614689E-2</v>
      </c>
      <c r="I294" s="147">
        <v>1.0850358226334749</v>
      </c>
    </row>
    <row r="295" spans="1:9">
      <c r="A295" s="81">
        <v>292</v>
      </c>
      <c r="B295" s="145" t="s">
        <v>857</v>
      </c>
      <c r="C295" s="146">
        <v>1</v>
      </c>
      <c r="D295" s="147" t="s">
        <v>453</v>
      </c>
      <c r="E295" s="148">
        <v>2.7112813085605494E-3</v>
      </c>
      <c r="F295" s="148">
        <v>1.1200000000000002E-2</v>
      </c>
      <c r="G295" s="147" t="s">
        <v>453</v>
      </c>
      <c r="H295" s="148">
        <v>0.15338723781215116</v>
      </c>
      <c r="I295" s="147" t="s">
        <v>453</v>
      </c>
    </row>
    <row r="296" spans="1:9">
      <c r="A296" s="81">
        <v>293</v>
      </c>
      <c r="B296" s="145" t="s">
        <v>687</v>
      </c>
      <c r="C296" s="146">
        <v>5</v>
      </c>
      <c r="D296" s="147">
        <v>1.0861151427189164</v>
      </c>
      <c r="E296" s="148">
        <v>0.31122345434459187</v>
      </c>
      <c r="F296" s="148">
        <v>0.22952</v>
      </c>
      <c r="G296" s="147">
        <v>0.87604664902024809</v>
      </c>
      <c r="H296" s="148">
        <v>4.5274840082859508E-2</v>
      </c>
      <c r="I296" s="147">
        <v>0.91759040800420433</v>
      </c>
    </row>
    <row r="297" spans="1:9">
      <c r="A297" s="81">
        <v>294</v>
      </c>
      <c r="B297" s="145" t="s">
        <v>858</v>
      </c>
      <c r="C297" s="146">
        <v>1</v>
      </c>
      <c r="D297" s="147">
        <v>2.2830188679245285</v>
      </c>
      <c r="E297" s="148">
        <v>0.83491866852933549</v>
      </c>
      <c r="F297" s="148">
        <v>0</v>
      </c>
      <c r="G297" s="147">
        <v>1.2442071177761462</v>
      </c>
      <c r="H297" s="148">
        <v>3.3048975446130714E-3</v>
      </c>
      <c r="I297" s="147">
        <v>1.2483327295488924</v>
      </c>
    </row>
    <row r="298" spans="1:9">
      <c r="A298" s="81">
        <v>295</v>
      </c>
      <c r="B298" s="145" t="s">
        <v>688</v>
      </c>
      <c r="C298" s="146">
        <v>6</v>
      </c>
      <c r="D298" s="147">
        <v>1.2648766328011614</v>
      </c>
      <c r="E298" s="148">
        <v>4.4076832657143745</v>
      </c>
      <c r="F298" s="148">
        <v>0.23763333333333336</v>
      </c>
      <c r="G298" s="147">
        <v>0.29009130191862598</v>
      </c>
      <c r="H298" s="148">
        <v>0.10882407345248697</v>
      </c>
      <c r="I298" s="147">
        <v>0.32551519097072446</v>
      </c>
    </row>
    <row r="299" spans="1:9">
      <c r="A299" s="81">
        <v>296</v>
      </c>
      <c r="B299" s="145" t="s">
        <v>689</v>
      </c>
      <c r="C299" s="146">
        <v>8</v>
      </c>
      <c r="D299" s="147">
        <v>1.0597968069666184</v>
      </c>
      <c r="E299" s="148">
        <v>1.7725749489112849E-3</v>
      </c>
      <c r="F299" s="148">
        <v>0.24913749999999996</v>
      </c>
      <c r="G299" s="147">
        <v>1.0583881346340072</v>
      </c>
      <c r="H299" s="148">
        <v>0.13260286217792622</v>
      </c>
      <c r="I299" s="147">
        <v>1.2201886408012459</v>
      </c>
    </row>
    <row r="300" spans="1:9" s="86" customFormat="1">
      <c r="A300" s="81">
        <v>297</v>
      </c>
      <c r="B300" s="145" t="s">
        <v>690</v>
      </c>
      <c r="C300" s="146">
        <v>7</v>
      </c>
      <c r="D300" s="147">
        <v>0.93420416061925504</v>
      </c>
      <c r="E300" s="148">
        <v>13918.333764495579</v>
      </c>
      <c r="F300" s="148">
        <v>0.14734285714285716</v>
      </c>
      <c r="G300" s="147">
        <v>7.8712466648828616E-5</v>
      </c>
      <c r="H300" s="148">
        <v>0.3548704633307343</v>
      </c>
      <c r="I300" s="147">
        <v>1.2201032842987254E-4</v>
      </c>
    </row>
    <row r="301" spans="1:9">
      <c r="A301" s="81">
        <v>298</v>
      </c>
      <c r="B301" s="145" t="s">
        <v>691</v>
      </c>
      <c r="C301" s="146">
        <v>13</v>
      </c>
      <c r="D301" s="147">
        <v>0.81306240928882434</v>
      </c>
      <c r="E301" s="148">
        <v>1.9071020525958953</v>
      </c>
      <c r="F301" s="148">
        <v>0.22278461538461541</v>
      </c>
      <c r="G301" s="147">
        <v>0.32755333660679226</v>
      </c>
      <c r="H301" s="148">
        <v>0.35377688823868958</v>
      </c>
      <c r="I301" s="147">
        <v>0.50687344764570674</v>
      </c>
    </row>
    <row r="302" spans="1:9">
      <c r="A302" s="81">
        <v>299</v>
      </c>
      <c r="B302" s="145" t="s">
        <v>692</v>
      </c>
      <c r="C302" s="146">
        <v>11</v>
      </c>
      <c r="D302" s="147">
        <v>1.2782500518349575</v>
      </c>
      <c r="E302" s="148">
        <v>0.23452362412380987</v>
      </c>
      <c r="F302" s="148">
        <v>0.15484545454545454</v>
      </c>
      <c r="G302" s="147">
        <v>1.0668008373051656</v>
      </c>
      <c r="H302" s="148">
        <v>0.14714700732363717</v>
      </c>
      <c r="I302" s="147">
        <v>1.25086134007387</v>
      </c>
    </row>
    <row r="303" spans="1:9">
      <c r="A303" s="81">
        <v>300</v>
      </c>
      <c r="B303" s="145" t="s">
        <v>859</v>
      </c>
      <c r="C303" s="146">
        <v>1</v>
      </c>
      <c r="D303" s="147">
        <v>0.86792452830188682</v>
      </c>
      <c r="E303" s="148">
        <v>0</v>
      </c>
      <c r="F303" s="148">
        <v>0.157</v>
      </c>
      <c r="G303" s="147">
        <v>0.86792452830188682</v>
      </c>
      <c r="H303" s="148">
        <v>0.20571956303540015</v>
      </c>
      <c r="I303" s="147">
        <v>1.0927179972085466</v>
      </c>
    </row>
    <row r="304" spans="1:9">
      <c r="A304" s="81">
        <v>301</v>
      </c>
      <c r="B304" s="145" t="s">
        <v>693</v>
      </c>
      <c r="C304" s="146">
        <v>12</v>
      </c>
      <c r="D304" s="147">
        <v>1.1640058055152396</v>
      </c>
      <c r="E304" s="148">
        <v>5.7553343139451314E-4</v>
      </c>
      <c r="F304" s="148">
        <v>0.17608333333333334</v>
      </c>
      <c r="G304" s="147">
        <v>1.1634541053673704</v>
      </c>
      <c r="H304" s="148">
        <v>5.8714897003085971E-2</v>
      </c>
      <c r="I304" s="147">
        <v>1.2360273222885423</v>
      </c>
    </row>
    <row r="305" spans="1:9">
      <c r="A305" s="81">
        <v>302</v>
      </c>
      <c r="B305" s="145" t="s">
        <v>694</v>
      </c>
      <c r="C305" s="146">
        <v>27</v>
      </c>
      <c r="D305" s="147">
        <v>0.80841799709724238</v>
      </c>
      <c r="E305" s="148">
        <v>0.10940061932782255</v>
      </c>
      <c r="F305" s="148">
        <v>0.24145555555555553</v>
      </c>
      <c r="G305" s="147">
        <v>0.74647185686632822</v>
      </c>
      <c r="H305" s="148">
        <v>0.11324387432901194</v>
      </c>
      <c r="I305" s="147">
        <v>0.84180062054997373</v>
      </c>
    </row>
    <row r="306" spans="1:9">
      <c r="A306" s="81">
        <v>303</v>
      </c>
      <c r="B306" s="145" t="s">
        <v>695</v>
      </c>
      <c r="C306" s="146">
        <v>41</v>
      </c>
      <c r="D306" s="147">
        <v>1.171568252998243</v>
      </c>
      <c r="E306" s="148">
        <v>0.32800243675310753</v>
      </c>
      <c r="F306" s="148">
        <v>0.17850975609756098</v>
      </c>
      <c r="G306" s="147">
        <v>0.9228937831743711</v>
      </c>
      <c r="H306" s="148">
        <v>9.8844209682929826E-2</v>
      </c>
      <c r="I306" s="147">
        <v>1.0241223472021996</v>
      </c>
    </row>
    <row r="307" spans="1:9">
      <c r="A307" s="81">
        <v>304</v>
      </c>
      <c r="B307" s="145" t="s">
        <v>696</v>
      </c>
      <c r="C307" s="146">
        <v>33</v>
      </c>
      <c r="D307" s="147">
        <v>1.4263425253991289</v>
      </c>
      <c r="E307" s="148">
        <v>0.25950344199860897</v>
      </c>
      <c r="F307" s="148">
        <v>0.19016969696969699</v>
      </c>
      <c r="G307" s="147">
        <v>1.1786457085611097</v>
      </c>
      <c r="H307" s="148">
        <v>7.3737275806041738E-2</v>
      </c>
      <c r="I307" s="147">
        <v>1.272474512657062</v>
      </c>
    </row>
    <row r="308" spans="1:9">
      <c r="A308" s="81">
        <v>305</v>
      </c>
      <c r="B308" s="145" t="s">
        <v>697</v>
      </c>
      <c r="C308" s="146">
        <v>37</v>
      </c>
      <c r="D308" s="147">
        <v>1.2899480312748723</v>
      </c>
      <c r="E308" s="148">
        <v>3.2617640500006307E-4</v>
      </c>
      <c r="F308" s="148">
        <v>0.27783243243243244</v>
      </c>
      <c r="G308" s="147">
        <v>1.2896442503860384</v>
      </c>
      <c r="H308" s="148">
        <v>0.12888782372231639</v>
      </c>
      <c r="I308" s="147">
        <v>1.4804571506470823</v>
      </c>
    </row>
    <row r="309" spans="1:9">
      <c r="A309" s="81">
        <v>306</v>
      </c>
      <c r="B309" s="145" t="s">
        <v>860</v>
      </c>
      <c r="C309" s="146">
        <v>1</v>
      </c>
      <c r="D309" s="147">
        <v>1.0362844702467344</v>
      </c>
      <c r="E309" s="148">
        <v>1.1330298431967628E-4</v>
      </c>
      <c r="F309" s="148">
        <v>0</v>
      </c>
      <c r="G309" s="147">
        <v>1.0361670694255147</v>
      </c>
      <c r="H309" s="148">
        <v>6.6982800127856016E-3</v>
      </c>
      <c r="I309" s="147">
        <v>1.0431544097586503</v>
      </c>
    </row>
    <row r="310" spans="1:9">
      <c r="A310" s="81">
        <v>307</v>
      </c>
      <c r="B310" s="145" t="s">
        <v>698</v>
      </c>
      <c r="C310" s="146">
        <v>2</v>
      </c>
      <c r="D310" s="147">
        <v>1.0253991291727143</v>
      </c>
      <c r="E310" s="148">
        <v>7.4439378431190089E-3</v>
      </c>
      <c r="F310" s="148">
        <v>0.10709999999999999</v>
      </c>
      <c r="G310" s="147">
        <v>1.0186286183819577</v>
      </c>
      <c r="H310" s="148">
        <v>0.56101474655956429</v>
      </c>
      <c r="I310" s="147">
        <v>2.3204164841500119</v>
      </c>
    </row>
    <row r="311" spans="1:9">
      <c r="A311" s="81">
        <v>308</v>
      </c>
      <c r="B311" s="145" t="s">
        <v>699</v>
      </c>
      <c r="C311" s="146">
        <v>15</v>
      </c>
      <c r="D311" s="147">
        <v>1.1468795355587809</v>
      </c>
      <c r="E311" s="148">
        <v>0.44599344437296307</v>
      </c>
      <c r="F311" s="148">
        <v>0.19331999999999996</v>
      </c>
      <c r="G311" s="147">
        <v>0.84343394016473505</v>
      </c>
      <c r="H311" s="148">
        <v>0.11521141777870109</v>
      </c>
      <c r="I311" s="147">
        <v>0.95326042527273436</v>
      </c>
    </row>
    <row r="312" spans="1:9">
      <c r="A312" s="81">
        <v>309</v>
      </c>
      <c r="B312" s="145" t="s">
        <v>700</v>
      </c>
      <c r="C312" s="146">
        <v>65</v>
      </c>
      <c r="D312" s="147">
        <v>1.2143717382577279</v>
      </c>
      <c r="E312" s="148">
        <v>0.31393578941759048</v>
      </c>
      <c r="F312" s="148">
        <v>0.28594153846153852</v>
      </c>
      <c r="G312" s="147">
        <v>0.99199720585758155</v>
      </c>
      <c r="H312" s="148">
        <v>0.10058237592804854</v>
      </c>
      <c r="I312" s="147">
        <v>1.1029328081948102</v>
      </c>
    </row>
    <row r="313" spans="1:9">
      <c r="A313" s="81">
        <v>310</v>
      </c>
      <c r="B313" s="145" t="s">
        <v>701</v>
      </c>
      <c r="C313" s="146">
        <v>26</v>
      </c>
      <c r="D313" s="147">
        <v>0.99718795355587841</v>
      </c>
      <c r="E313" s="148">
        <v>7.1188533860155834E-2</v>
      </c>
      <c r="F313" s="148">
        <v>0.16119615384615382</v>
      </c>
      <c r="G313" s="147">
        <v>0.94099794028817663</v>
      </c>
      <c r="H313" s="148">
        <v>9.9168588564387317E-2</v>
      </c>
      <c r="I313" s="147">
        <v>1.0445882862682958</v>
      </c>
    </row>
    <row r="314" spans="1:9">
      <c r="A314" s="81">
        <v>311</v>
      </c>
      <c r="B314" s="145" t="s">
        <v>702</v>
      </c>
      <c r="C314" s="146">
        <v>4</v>
      </c>
      <c r="D314" s="147" t="s">
        <v>453</v>
      </c>
      <c r="E314" s="148">
        <v>0.1214600199367725</v>
      </c>
      <c r="F314" s="148">
        <v>0.20129999999999998</v>
      </c>
      <c r="G314" s="147" t="s">
        <v>453</v>
      </c>
      <c r="H314" s="148">
        <v>0.13666962621139994</v>
      </c>
      <c r="I314" s="147" t="s">
        <v>453</v>
      </c>
    </row>
    <row r="315" spans="1:9">
      <c r="A315" s="81">
        <v>312</v>
      </c>
      <c r="B315" s="145" t="s">
        <v>861</v>
      </c>
      <c r="C315" s="146">
        <v>1</v>
      </c>
      <c r="D315" s="147">
        <v>1.5921625544267055</v>
      </c>
      <c r="E315" s="148">
        <v>0.13429868425719049</v>
      </c>
      <c r="F315" s="148">
        <v>0</v>
      </c>
      <c r="G315" s="147">
        <v>1.4036537082552933</v>
      </c>
      <c r="H315" s="148">
        <v>0.12783604334941856</v>
      </c>
      <c r="I315" s="147">
        <v>1.6093920157464667</v>
      </c>
    </row>
    <row r="316" spans="1:9">
      <c r="A316" s="81">
        <v>313</v>
      </c>
      <c r="B316" s="145" t="s">
        <v>705</v>
      </c>
      <c r="C316" s="146">
        <v>50</v>
      </c>
      <c r="D316" s="147">
        <v>1.300577011575631</v>
      </c>
      <c r="E316" s="148">
        <v>0.29097287859552845</v>
      </c>
      <c r="F316" s="148">
        <v>0.26523999999999992</v>
      </c>
      <c r="G316" s="147">
        <v>1.0714962268685091</v>
      </c>
      <c r="H316" s="148">
        <v>4.0269135599042001E-2</v>
      </c>
      <c r="I316" s="147">
        <v>1.1164549006531248</v>
      </c>
    </row>
    <row r="317" spans="1:9">
      <c r="A317" s="81">
        <v>314</v>
      </c>
      <c r="B317" s="145" t="s">
        <v>704</v>
      </c>
      <c r="C317" s="146">
        <v>44</v>
      </c>
      <c r="D317" s="147">
        <v>1.2055152394775039</v>
      </c>
      <c r="E317" s="148">
        <v>2.6644309657965159</v>
      </c>
      <c r="F317" s="148">
        <v>0.18506818181818183</v>
      </c>
      <c r="G317" s="147">
        <v>0.38012928405743046</v>
      </c>
      <c r="H317" s="148">
        <v>9.0848275276411622E-2</v>
      </c>
      <c r="I317" s="147">
        <v>0.41811424179281198</v>
      </c>
    </row>
    <row r="318" spans="1:9">
      <c r="A318" s="81">
        <v>315</v>
      </c>
      <c r="B318" s="145" t="s">
        <v>703</v>
      </c>
      <c r="C318" s="146">
        <v>15</v>
      </c>
      <c r="D318" s="147">
        <v>1.2859216255442671</v>
      </c>
      <c r="E318" s="148">
        <v>3.1599352985079302E-3</v>
      </c>
      <c r="F318" s="148">
        <v>0.19202</v>
      </c>
      <c r="G318" s="147">
        <v>1.2826468171957204</v>
      </c>
      <c r="H318" s="148">
        <v>4.9254220938216929E-2</v>
      </c>
      <c r="I318" s="147">
        <v>1.3490954632072778</v>
      </c>
    </row>
    <row r="319" spans="1:9">
      <c r="A319" s="81">
        <v>316</v>
      </c>
      <c r="B319" s="145" t="s">
        <v>706</v>
      </c>
      <c r="C319" s="146">
        <v>10</v>
      </c>
      <c r="D319" s="147">
        <v>1.0686985970004839</v>
      </c>
      <c r="E319" s="148">
        <v>0.76601556601444865</v>
      </c>
      <c r="F319" s="148">
        <v>0.18711999999999998</v>
      </c>
      <c r="G319" s="147">
        <v>0.65860146871210734</v>
      </c>
      <c r="H319" s="148">
        <v>0.10894203735763437</v>
      </c>
      <c r="I319" s="147">
        <v>0.7391230383701124</v>
      </c>
    </row>
    <row r="320" spans="1:9">
      <c r="A320" s="81">
        <v>317</v>
      </c>
      <c r="B320" s="145" t="s">
        <v>707</v>
      </c>
      <c r="C320" s="146">
        <v>27</v>
      </c>
      <c r="D320" s="147">
        <v>1.1275399129172716</v>
      </c>
      <c r="E320" s="148">
        <v>1.3749524994201684E-3</v>
      </c>
      <c r="F320" s="148">
        <v>0.15092592592592594</v>
      </c>
      <c r="G320" s="147">
        <v>1.126225116586044</v>
      </c>
      <c r="H320" s="148">
        <v>0.1412814733759688</v>
      </c>
      <c r="I320" s="147">
        <v>1.3115183633147978</v>
      </c>
    </row>
    <row r="321" spans="1:9">
      <c r="A321" s="81">
        <v>318</v>
      </c>
      <c r="B321" s="145" t="s">
        <v>708</v>
      </c>
      <c r="C321" s="146">
        <v>4</v>
      </c>
      <c r="D321" s="147">
        <v>1.6280841799709727</v>
      </c>
      <c r="E321" s="148">
        <v>9.2722840726757296E-4</v>
      </c>
      <c r="F321" s="148">
        <v>0.192025</v>
      </c>
      <c r="G321" s="147">
        <v>1.6268653692484523</v>
      </c>
      <c r="H321" s="148">
        <v>0.11006137038920186</v>
      </c>
      <c r="I321" s="147">
        <v>1.8280646722346892</v>
      </c>
    </row>
    <row r="322" spans="1:9">
      <c r="A322" s="81">
        <v>319</v>
      </c>
      <c r="B322" s="145" t="s">
        <v>862</v>
      </c>
      <c r="C322" s="146">
        <v>5</v>
      </c>
      <c r="D322" s="147">
        <v>1.0493468795355587</v>
      </c>
      <c r="E322" s="148">
        <v>0.13269520071300087</v>
      </c>
      <c r="F322" s="148">
        <v>0.22132000000000002</v>
      </c>
      <c r="G322" s="147">
        <v>0.95107505343620324</v>
      </c>
      <c r="H322" s="148">
        <v>6.2649287528347003E-2</v>
      </c>
      <c r="I322" s="147">
        <v>1.0146416285622286</v>
      </c>
    </row>
    <row r="323" spans="1:9">
      <c r="A323" s="81">
        <v>320</v>
      </c>
      <c r="B323" s="145" t="s">
        <v>709</v>
      </c>
      <c r="C323" s="146">
        <v>83</v>
      </c>
      <c r="D323" s="147">
        <v>1.7131318230579919</v>
      </c>
      <c r="E323" s="148">
        <v>0.14111952331479652</v>
      </c>
      <c r="F323" s="148">
        <v>9.9759036144578331E-2</v>
      </c>
      <c r="G323" s="147">
        <v>1.5200254010262439</v>
      </c>
      <c r="H323" s="148">
        <v>0.10837509137418201</v>
      </c>
      <c r="I323" s="147">
        <v>1.7047812217010891</v>
      </c>
    </row>
    <row r="324" spans="1:9">
      <c r="A324" s="81">
        <v>321</v>
      </c>
      <c r="B324" s="145" t="s">
        <v>710</v>
      </c>
      <c r="C324" s="146">
        <v>33</v>
      </c>
      <c r="D324" s="147">
        <v>1.3323139125025918</v>
      </c>
      <c r="E324" s="148">
        <v>0.16155430158929249</v>
      </c>
      <c r="F324" s="148">
        <v>0.15354545454545451</v>
      </c>
      <c r="G324" s="147">
        <v>1.172039427760597</v>
      </c>
      <c r="H324" s="148">
        <v>9.3073559076498766E-2</v>
      </c>
      <c r="I324" s="147">
        <v>1.2923202752443048</v>
      </c>
    </row>
    <row r="325" spans="1:9">
      <c r="A325" s="81">
        <v>322</v>
      </c>
      <c r="B325" s="145" t="s">
        <v>711</v>
      </c>
      <c r="C325" s="146">
        <v>31</v>
      </c>
      <c r="D325" s="147">
        <v>1.8186334710282464</v>
      </c>
      <c r="E325" s="148">
        <v>3.8391795909775789E-2</v>
      </c>
      <c r="F325" s="148">
        <v>0.20323225806451611</v>
      </c>
      <c r="G325" s="147">
        <v>1.7646538659365409</v>
      </c>
      <c r="H325" s="148">
        <v>7.7477140893385171E-2</v>
      </c>
      <c r="I325" s="147">
        <v>1.9128565200492254</v>
      </c>
    </row>
    <row r="326" spans="1:9">
      <c r="A326" s="81">
        <v>323</v>
      </c>
      <c r="B326" s="145" t="s">
        <v>712</v>
      </c>
      <c r="C326" s="146">
        <v>4</v>
      </c>
      <c r="D326" s="147">
        <v>1.0478955007256894</v>
      </c>
      <c r="E326" s="148">
        <v>1.8191613812600795E-2</v>
      </c>
      <c r="F326" s="148">
        <v>0.21427499999999999</v>
      </c>
      <c r="G326" s="147">
        <v>1.0331283710869004</v>
      </c>
      <c r="H326" s="148">
        <v>5.6192971676905122E-3</v>
      </c>
      <c r="I326" s="147">
        <v>1.038966633346992</v>
      </c>
    </row>
    <row r="327" spans="1:9">
      <c r="A327" s="81">
        <v>324</v>
      </c>
      <c r="B327" s="145" t="s">
        <v>713</v>
      </c>
      <c r="C327" s="146">
        <v>14</v>
      </c>
      <c r="D327" s="147">
        <v>1.074801830970191</v>
      </c>
      <c r="E327" s="148">
        <v>5.2251582603362592E-4</v>
      </c>
      <c r="F327" s="148">
        <v>0.16218571428571432</v>
      </c>
      <c r="G327" s="147">
        <v>1.0743315195463672</v>
      </c>
      <c r="H327" s="148">
        <v>3.0957039050138722E-2</v>
      </c>
      <c r="I327" s="147">
        <v>1.1086521060875376</v>
      </c>
    </row>
    <row r="328" spans="1:9">
      <c r="A328" s="81">
        <v>325</v>
      </c>
      <c r="B328" s="145" t="s">
        <v>714</v>
      </c>
      <c r="C328" s="146">
        <v>4</v>
      </c>
      <c r="D328" s="147">
        <v>0.77600387034349305</v>
      </c>
      <c r="E328" s="148">
        <v>0.30950667706917695</v>
      </c>
      <c r="F328" s="148">
        <v>0.13324999999999998</v>
      </c>
      <c r="G328" s="147">
        <v>0.61186260282624538</v>
      </c>
      <c r="H328" s="148">
        <v>4.0210789305178581E-2</v>
      </c>
      <c r="I328" s="147">
        <v>0.63749685452631721</v>
      </c>
    </row>
    <row r="329" spans="1:9">
      <c r="A329" s="81">
        <v>326</v>
      </c>
      <c r="B329" s="145" t="s">
        <v>863</v>
      </c>
      <c r="C329" s="146">
        <v>2</v>
      </c>
      <c r="D329" s="147">
        <v>0.679245283018868</v>
      </c>
      <c r="E329" s="148">
        <v>0</v>
      </c>
      <c r="F329" s="148">
        <v>0.16449999999999998</v>
      </c>
      <c r="G329" s="147">
        <v>0.679245283018868</v>
      </c>
      <c r="H329" s="148">
        <v>0.5</v>
      </c>
      <c r="I329" s="147">
        <v>1.358490566037736</v>
      </c>
    </row>
    <row r="330" spans="1:9">
      <c r="A330" s="81">
        <v>327</v>
      </c>
      <c r="B330" s="145" t="s">
        <v>715</v>
      </c>
      <c r="C330" s="146">
        <v>2</v>
      </c>
      <c r="D330" s="147">
        <v>0.339622641509434</v>
      </c>
      <c r="E330" s="148">
        <v>11.568638303297341</v>
      </c>
      <c r="F330" s="148">
        <v>0</v>
      </c>
      <c r="G330" s="147">
        <v>2.7021434885299796E-2</v>
      </c>
      <c r="H330" s="148">
        <v>4.5702720600722342E-2</v>
      </c>
      <c r="I330" s="147">
        <v>2.8315531720167503E-2</v>
      </c>
    </row>
    <row r="331" spans="1:9">
      <c r="A331" s="81">
        <v>328</v>
      </c>
      <c r="B331" s="145" t="s">
        <v>716</v>
      </c>
      <c r="C331" s="146">
        <v>70</v>
      </c>
      <c r="D331" s="147">
        <v>1.3918426586890202</v>
      </c>
      <c r="E331" s="148">
        <v>0.71020605470355846</v>
      </c>
      <c r="F331" s="148">
        <v>0.23429857142857138</v>
      </c>
      <c r="G331" s="147">
        <v>0.90156590103735956</v>
      </c>
      <c r="H331" s="148">
        <v>4.8103903292919047E-2</v>
      </c>
      <c r="I331" s="147">
        <v>0.94712637666670763</v>
      </c>
    </row>
    <row r="332" spans="1:9">
      <c r="A332" s="81">
        <v>329</v>
      </c>
      <c r="B332" s="145" t="s">
        <v>717</v>
      </c>
      <c r="C332" s="146">
        <v>205</v>
      </c>
      <c r="D332" s="147">
        <v>1.5321250309745482</v>
      </c>
      <c r="E332" s="148">
        <v>6.9842213015356577E-2</v>
      </c>
      <c r="F332" s="148">
        <v>0.20419853658536577</v>
      </c>
      <c r="G332" s="147">
        <v>1.4514525227596735</v>
      </c>
      <c r="H332" s="148">
        <v>3.8921834547481667E-2</v>
      </c>
      <c r="I332" s="147">
        <v>1.5102335844621599</v>
      </c>
    </row>
    <row r="333" spans="1:9">
      <c r="A333" s="81">
        <v>330</v>
      </c>
      <c r="B333" s="145" t="s">
        <v>718</v>
      </c>
      <c r="C333" s="146">
        <v>51</v>
      </c>
      <c r="D333" s="147">
        <v>1.4818577648766329</v>
      </c>
      <c r="E333" s="148">
        <v>0.56306612205672124</v>
      </c>
      <c r="F333" s="148">
        <v>0.20902549019607841</v>
      </c>
      <c r="G333" s="147">
        <v>1.0252439105674751</v>
      </c>
      <c r="H333" s="148">
        <v>3.7876052601118038E-2</v>
      </c>
      <c r="I333" s="147">
        <v>1.0656048145763746</v>
      </c>
    </row>
    <row r="334" spans="1:9">
      <c r="A334" s="81">
        <v>331</v>
      </c>
      <c r="B334" s="145" t="s">
        <v>864</v>
      </c>
      <c r="C334" s="146">
        <v>5</v>
      </c>
      <c r="D334" s="147">
        <v>1.125544267053701</v>
      </c>
      <c r="E334" s="148">
        <v>1.4051060468630012</v>
      </c>
      <c r="F334" s="148">
        <v>0.23380000000000001</v>
      </c>
      <c r="G334" s="147">
        <v>0.54201505633567126</v>
      </c>
      <c r="H334" s="148">
        <v>5.2391337875229385E-2</v>
      </c>
      <c r="I334" s="147">
        <v>0.57198195626487924</v>
      </c>
    </row>
    <row r="335" spans="1:9">
      <c r="A335" s="81">
        <v>332</v>
      </c>
      <c r="B335" s="145" t="s">
        <v>719</v>
      </c>
      <c r="C335" s="146">
        <v>14</v>
      </c>
      <c r="D335" s="147">
        <v>1.2922853634029252</v>
      </c>
      <c r="E335" s="148">
        <v>0.18468435531918184</v>
      </c>
      <c r="F335" s="148">
        <v>0.1010357142857143</v>
      </c>
      <c r="G335" s="147">
        <v>1.108283066718238</v>
      </c>
      <c r="H335" s="148">
        <v>8.5490041942926781E-2</v>
      </c>
      <c r="I335" s="147">
        <v>1.2118873686983642</v>
      </c>
    </row>
    <row r="336" spans="1:9">
      <c r="A336" s="81">
        <v>333</v>
      </c>
      <c r="B336" s="145" t="s">
        <v>720</v>
      </c>
      <c r="C336" s="146">
        <v>43</v>
      </c>
      <c r="D336" s="147">
        <v>1.2451171470039395</v>
      </c>
      <c r="E336" s="148">
        <v>0.1260506306043358</v>
      </c>
      <c r="F336" s="148">
        <v>0.22836046511627894</v>
      </c>
      <c r="G336" s="147">
        <v>1.134745398287528</v>
      </c>
      <c r="H336" s="148">
        <v>3.637187312488617E-2</v>
      </c>
      <c r="I336" s="147">
        <v>1.1775760447832913</v>
      </c>
    </row>
    <row r="337" spans="1:9">
      <c r="A337" s="81">
        <v>334</v>
      </c>
      <c r="B337" s="145" t="s">
        <v>721</v>
      </c>
      <c r="C337" s="146">
        <v>3</v>
      </c>
      <c r="D337" s="147">
        <v>1.5399129172714079</v>
      </c>
      <c r="E337" s="148">
        <v>1.0239390451289829</v>
      </c>
      <c r="F337" s="148">
        <v>0.21906666666666666</v>
      </c>
      <c r="G337" s="147">
        <v>0.85568395503228356</v>
      </c>
      <c r="H337" s="148">
        <v>2.7324168291332097E-2</v>
      </c>
      <c r="I337" s="147">
        <v>0.8797216165319246</v>
      </c>
    </row>
    <row r="338" spans="1:9">
      <c r="A338" s="81">
        <v>335</v>
      </c>
      <c r="B338" s="145" t="s">
        <v>865</v>
      </c>
      <c r="C338" s="146">
        <v>10</v>
      </c>
      <c r="D338" s="147">
        <v>0.91082083534913727</v>
      </c>
      <c r="E338" s="148">
        <v>0.19241507039567812</v>
      </c>
      <c r="F338" s="148">
        <v>0.23862</v>
      </c>
      <c r="G338" s="147">
        <v>0.79443528286028497</v>
      </c>
      <c r="H338" s="148">
        <v>4.244647165666883E-2</v>
      </c>
      <c r="I338" s="147">
        <v>0.82965104231273834</v>
      </c>
    </row>
    <row r="339" spans="1:9">
      <c r="A339" s="81">
        <v>336</v>
      </c>
      <c r="B339" s="145" t="s">
        <v>722</v>
      </c>
      <c r="C339" s="146">
        <v>12</v>
      </c>
      <c r="D339" s="147">
        <v>1.2877688349386462</v>
      </c>
      <c r="E339" s="148">
        <v>8.2282868829631581E-5</v>
      </c>
      <c r="F339" s="148">
        <v>6.9508333333333325E-2</v>
      </c>
      <c r="G339" s="147">
        <v>1.2876702463671494</v>
      </c>
      <c r="H339" s="148">
        <v>1.8214765772341445E-2</v>
      </c>
      <c r="I339" s="147">
        <v>1.3115600046481872</v>
      </c>
    </row>
    <row r="340" spans="1:9">
      <c r="A340" s="81">
        <v>337</v>
      </c>
      <c r="B340" s="145" t="s">
        <v>723</v>
      </c>
      <c r="C340" s="146">
        <v>12</v>
      </c>
      <c r="D340" s="147">
        <v>1.2936139332365746</v>
      </c>
      <c r="E340" s="148">
        <v>0.23440779467105527</v>
      </c>
      <c r="F340" s="148">
        <v>0.17934166666666665</v>
      </c>
      <c r="G340" s="147">
        <v>1.0849110030180262</v>
      </c>
      <c r="H340" s="148">
        <v>5.1308493453140119E-2</v>
      </c>
      <c r="I340" s="147">
        <v>1.1435867144705358</v>
      </c>
    </row>
    <row r="341" spans="1:9">
      <c r="A341" s="81">
        <v>338</v>
      </c>
      <c r="B341" s="145" t="s">
        <v>724</v>
      </c>
      <c r="C341" s="146">
        <v>113</v>
      </c>
      <c r="D341" s="147">
        <v>1.2577985317936098</v>
      </c>
      <c r="E341" s="148">
        <v>191.89240645694528</v>
      </c>
      <c r="F341" s="148">
        <v>0.22867522123893785</v>
      </c>
      <c r="G341" s="147">
        <v>8.4409568816401753E-3</v>
      </c>
      <c r="H341" s="148">
        <v>6.8867566879236328E-2</v>
      </c>
      <c r="I341" s="147">
        <v>9.0652592277874408E-3</v>
      </c>
    </row>
    <row r="342" spans="1:9">
      <c r="A342" s="81">
        <v>339</v>
      </c>
      <c r="B342" s="145" t="s">
        <v>725</v>
      </c>
      <c r="C342" s="146">
        <v>98</v>
      </c>
      <c r="D342" s="147">
        <v>1.3838628178250816</v>
      </c>
      <c r="E342" s="148">
        <v>3.2649564883918965E-2</v>
      </c>
      <c r="F342" s="148">
        <v>0.13315102040816326</v>
      </c>
      <c r="G342" s="147">
        <v>1.3457743854846567</v>
      </c>
      <c r="H342" s="148">
        <v>8.671509328422311E-2</v>
      </c>
      <c r="I342" s="147">
        <v>1.4735537350815704</v>
      </c>
    </row>
    <row r="343" spans="1:9">
      <c r="A343" s="81">
        <v>340</v>
      </c>
      <c r="B343" s="145" t="s">
        <v>726</v>
      </c>
      <c r="C343" s="146">
        <v>53</v>
      </c>
      <c r="D343" s="147">
        <v>1.0281425891181988</v>
      </c>
      <c r="E343" s="148">
        <v>0.42319389781461575</v>
      </c>
      <c r="F343" s="148">
        <v>0.2346943396226415</v>
      </c>
      <c r="G343" s="147">
        <v>0.77661741980922916</v>
      </c>
      <c r="H343" s="148">
        <v>4.7718698002922118E-2</v>
      </c>
      <c r="I343" s="147">
        <v>0.81553362245015737</v>
      </c>
    </row>
    <row r="344" spans="1:9">
      <c r="A344" s="81">
        <v>341</v>
      </c>
      <c r="B344" s="145" t="s">
        <v>727</v>
      </c>
      <c r="C344" s="146">
        <v>30</v>
      </c>
      <c r="D344" s="147">
        <v>1.2416200152049206</v>
      </c>
      <c r="E344" s="148">
        <v>0.14408915762905466</v>
      </c>
      <c r="F344" s="148">
        <v>0.21754333333333337</v>
      </c>
      <c r="G344" s="147">
        <v>1.1158186865866613</v>
      </c>
      <c r="H344" s="148">
        <v>2.2334898996286677E-2</v>
      </c>
      <c r="I344" s="147">
        <v>1.1413097239955825</v>
      </c>
    </row>
    <row r="345" spans="1:9">
      <c r="A345" s="81">
        <v>342</v>
      </c>
      <c r="B345" s="145" t="s">
        <v>728</v>
      </c>
      <c r="C345" s="146">
        <v>62</v>
      </c>
      <c r="D345" s="147">
        <v>1.1896371552975324</v>
      </c>
      <c r="E345" s="148">
        <v>0.19902007702192742</v>
      </c>
      <c r="F345" s="148">
        <v>0.17643709677419359</v>
      </c>
      <c r="G345" s="147">
        <v>1.0221079818816525</v>
      </c>
      <c r="H345" s="148">
        <v>5.7014399439580248E-2</v>
      </c>
      <c r="I345" s="147">
        <v>1.0839062455187121</v>
      </c>
    </row>
    <row r="346" spans="1:9">
      <c r="A346" s="81">
        <v>343</v>
      </c>
      <c r="B346" s="145" t="s">
        <v>729</v>
      </c>
      <c r="C346" s="146">
        <v>8</v>
      </c>
      <c r="D346" s="147">
        <v>0.6738026124818578</v>
      </c>
      <c r="E346" s="148">
        <v>1.5696551495106216E-2</v>
      </c>
      <c r="F346" s="148">
        <v>6.3700000000000007E-2</v>
      </c>
      <c r="G346" s="147">
        <v>0.66404337866596252</v>
      </c>
      <c r="H346" s="148">
        <v>7.3706645522518988E-2</v>
      </c>
      <c r="I346" s="147">
        <v>0.716882373662874</v>
      </c>
    </row>
    <row r="347" spans="1:9">
      <c r="A347" s="81">
        <v>344</v>
      </c>
      <c r="B347" s="145" t="s">
        <v>730</v>
      </c>
      <c r="C347" s="146">
        <v>172</v>
      </c>
      <c r="D347" s="147">
        <v>1.2377402471742094</v>
      </c>
      <c r="E347" s="148">
        <v>0.44692369187283743</v>
      </c>
      <c r="F347" s="148">
        <v>0.18142616279069768</v>
      </c>
      <c r="G347" s="147">
        <v>0.90621171561865355</v>
      </c>
      <c r="H347" s="148">
        <v>5.0804935778042591E-2</v>
      </c>
      <c r="I347" s="147">
        <v>0.95471600072158325</v>
      </c>
    </row>
    <row r="348" spans="1:9">
      <c r="A348" s="81">
        <v>345</v>
      </c>
      <c r="B348" s="145" t="s">
        <v>731</v>
      </c>
      <c r="C348" s="146">
        <v>14</v>
      </c>
      <c r="D348" s="147">
        <v>1.3181744879858088</v>
      </c>
      <c r="E348" s="148">
        <v>0.32280471647548559</v>
      </c>
      <c r="F348" s="148">
        <v>0.17366428571428566</v>
      </c>
      <c r="G348" s="147">
        <v>1.0405996623978324</v>
      </c>
      <c r="H348" s="148">
        <v>1.5664366545447929E-2</v>
      </c>
      <c r="I348" s="147">
        <v>1.0571593946526352</v>
      </c>
    </row>
    <row r="349" spans="1:9">
      <c r="A349" s="81">
        <v>346</v>
      </c>
      <c r="B349" s="145" t="s">
        <v>732</v>
      </c>
      <c r="C349" s="146">
        <v>47</v>
      </c>
      <c r="D349" s="147">
        <v>1.1672807115477655</v>
      </c>
      <c r="E349" s="148">
        <v>7.196827368314461E-2</v>
      </c>
      <c r="F349" s="148">
        <v>0.19523617021276593</v>
      </c>
      <c r="G349" s="147">
        <v>1.1033759738005524</v>
      </c>
      <c r="H349" s="148">
        <v>7.4247061623015378E-2</v>
      </c>
      <c r="I349" s="147">
        <v>1.1918687244298396</v>
      </c>
    </row>
    <row r="350" spans="1:9">
      <c r="A350" s="81">
        <v>347</v>
      </c>
      <c r="B350" s="145" t="s">
        <v>733</v>
      </c>
      <c r="C350" s="146">
        <v>38</v>
      </c>
      <c r="D350" s="147">
        <v>0.85743714593379872</v>
      </c>
      <c r="E350" s="148">
        <v>1.0251543386365211E-2</v>
      </c>
      <c r="F350" s="148">
        <v>0.26660526315789473</v>
      </c>
      <c r="G350" s="147">
        <v>0.85103867297638902</v>
      </c>
      <c r="H350" s="148">
        <v>6.1769995353236816E-2</v>
      </c>
      <c r="I350" s="147">
        <v>0.90706827618116825</v>
      </c>
    </row>
    <row r="351" spans="1:9">
      <c r="A351" s="81">
        <v>348</v>
      </c>
      <c r="B351" s="145" t="s">
        <v>734</v>
      </c>
      <c r="C351" s="146">
        <v>7</v>
      </c>
      <c r="D351" s="147">
        <v>1.3605224963715532</v>
      </c>
      <c r="E351" s="148">
        <v>0.10204114883525202</v>
      </c>
      <c r="F351" s="148">
        <v>0.15347142857142854</v>
      </c>
      <c r="G351" s="147">
        <v>1.2523440782049133</v>
      </c>
      <c r="H351" s="148">
        <v>6.0623162831372139E-2</v>
      </c>
      <c r="I351" s="147">
        <v>1.3331647414040981</v>
      </c>
    </row>
    <row r="352" spans="1:9">
      <c r="A352" s="81">
        <v>349</v>
      </c>
      <c r="B352" s="145" t="s">
        <v>735</v>
      </c>
      <c r="C352" s="146">
        <v>11</v>
      </c>
      <c r="D352" s="147">
        <v>1.0956095791001452</v>
      </c>
      <c r="E352" s="148">
        <v>0.26539387985182877</v>
      </c>
      <c r="F352" s="148">
        <v>0.20898181818181819</v>
      </c>
      <c r="G352" s="147">
        <v>0.90551381120551022</v>
      </c>
      <c r="H352" s="148">
        <v>5.0162930608026013E-2</v>
      </c>
      <c r="I352" s="147">
        <v>0.95333593558857754</v>
      </c>
    </row>
    <row r="353" spans="1:9">
      <c r="A353" s="81">
        <v>350</v>
      </c>
      <c r="B353" s="145" t="s">
        <v>736</v>
      </c>
      <c r="C353" s="146">
        <v>2</v>
      </c>
      <c r="D353" s="147">
        <v>1.3730043541364296</v>
      </c>
      <c r="E353" s="148">
        <v>2.9423167142596386E-2</v>
      </c>
      <c r="F353" s="148">
        <v>0.17904999999999999</v>
      </c>
      <c r="G353" s="147">
        <v>1.3406217051325613</v>
      </c>
      <c r="H353" s="148">
        <v>5.069716139792059E-2</v>
      </c>
      <c r="I353" s="147">
        <v>1.412217103560681</v>
      </c>
    </row>
    <row r="354" spans="1:9">
      <c r="A354" s="81">
        <v>351</v>
      </c>
      <c r="B354" s="145" t="s">
        <v>737</v>
      </c>
      <c r="C354" s="146">
        <v>4</v>
      </c>
      <c r="D354" s="147">
        <v>0.95283018867924552</v>
      </c>
      <c r="E354" s="148">
        <v>0.11203483765886535</v>
      </c>
      <c r="F354" s="148">
        <v>0.15544999999999998</v>
      </c>
      <c r="G354" s="147">
        <v>0.87046741323046961</v>
      </c>
      <c r="H354" s="148">
        <v>0.10232622098751798</v>
      </c>
      <c r="I354" s="147">
        <v>0.96969236885593146</v>
      </c>
    </row>
    <row r="355" spans="1:9">
      <c r="A355" s="81">
        <v>352</v>
      </c>
      <c r="B355" s="145" t="s">
        <v>738</v>
      </c>
      <c r="C355" s="146">
        <v>3</v>
      </c>
      <c r="D355" s="147">
        <v>0.79100145137880995</v>
      </c>
      <c r="E355" s="148">
        <v>1.1541628406161525E-2</v>
      </c>
      <c r="F355" s="148">
        <v>0.16893333333333335</v>
      </c>
      <c r="G355" s="147">
        <v>0.78348635784820719</v>
      </c>
      <c r="H355" s="148">
        <v>5.0881698424040604E-2</v>
      </c>
      <c r="I355" s="147">
        <v>0.82548862090981767</v>
      </c>
    </row>
    <row r="356" spans="1:9">
      <c r="A356" s="81">
        <v>353</v>
      </c>
      <c r="B356" s="145" t="s">
        <v>739</v>
      </c>
      <c r="C356" s="146">
        <v>121</v>
      </c>
      <c r="D356" s="147">
        <v>1.5397055774414266</v>
      </c>
      <c r="E356" s="148">
        <v>0.44650767452299517</v>
      </c>
      <c r="F356" s="148">
        <v>0.10969586776859508</v>
      </c>
      <c r="G356" s="147">
        <v>1.1017353409853319</v>
      </c>
      <c r="H356" s="148">
        <v>8.0535430501102956E-2</v>
      </c>
      <c r="I356" s="147">
        <v>1.1982357749638699</v>
      </c>
    </row>
    <row r="357" spans="1:9">
      <c r="A357" s="81">
        <v>354</v>
      </c>
      <c r="B357" s="145" t="s">
        <v>740</v>
      </c>
      <c r="C357" s="146">
        <v>10</v>
      </c>
      <c r="D357" s="147">
        <v>0.96825108853410735</v>
      </c>
      <c r="E357" s="148">
        <v>4.7457136547944721E-2</v>
      </c>
      <c r="F357" s="148">
        <v>0.22112999999999997</v>
      </c>
      <c r="G357" s="147">
        <v>0.93373740877107825</v>
      </c>
      <c r="H357" s="148">
        <v>4.8690615840125712E-2</v>
      </c>
      <c r="I357" s="147">
        <v>0.98152864285648322</v>
      </c>
    </row>
    <row r="358" spans="1:9">
      <c r="A358" s="81">
        <v>355</v>
      </c>
      <c r="B358" s="145" t="s">
        <v>741</v>
      </c>
      <c r="C358" s="146">
        <v>73</v>
      </c>
      <c r="D358" s="147">
        <v>1.2438825656303314</v>
      </c>
      <c r="E358" s="148">
        <v>4.8285264881822151E-2</v>
      </c>
      <c r="F358" s="148">
        <v>0.16129726027397251</v>
      </c>
      <c r="G358" s="147">
        <v>1.1954696503919362</v>
      </c>
      <c r="H358" s="148">
        <v>6.9082507054011977E-2</v>
      </c>
      <c r="I358" s="147">
        <v>1.2841843229400971</v>
      </c>
    </row>
    <row r="359" spans="1:9">
      <c r="A359" s="81">
        <v>356</v>
      </c>
      <c r="B359" s="145" t="s">
        <v>742</v>
      </c>
      <c r="C359" s="146">
        <v>16</v>
      </c>
      <c r="D359" s="147">
        <v>1.4137546053366081</v>
      </c>
      <c r="E359" s="148">
        <v>3.2840483189765811E-2</v>
      </c>
      <c r="F359" s="148">
        <v>0.22126250000000003</v>
      </c>
      <c r="G359" s="147">
        <v>1.3785006696119158</v>
      </c>
      <c r="H359" s="148">
        <v>2.3704107497677103E-2</v>
      </c>
      <c r="I359" s="147">
        <v>1.4119701621182801</v>
      </c>
    </row>
    <row r="360" spans="1:9">
      <c r="A360" s="81">
        <v>357</v>
      </c>
      <c r="B360" s="145" t="s">
        <v>743</v>
      </c>
      <c r="C360" s="146">
        <v>34</v>
      </c>
      <c r="D360" s="147">
        <v>1.0901529529976559</v>
      </c>
      <c r="E360" s="148">
        <v>6.0630376531663761E-2</v>
      </c>
      <c r="F360" s="148">
        <v>0.20188529411764705</v>
      </c>
      <c r="G360" s="147">
        <v>1.039835326604055</v>
      </c>
      <c r="H360" s="148">
        <v>6.8787381213787399E-2</v>
      </c>
      <c r="I360" s="147">
        <v>1.1166465161945791</v>
      </c>
    </row>
    <row r="361" spans="1:9">
      <c r="A361" s="81">
        <v>358</v>
      </c>
      <c r="B361" s="145" t="s">
        <v>744</v>
      </c>
      <c r="C361" s="146">
        <v>13</v>
      </c>
      <c r="D361" s="147">
        <v>1.3583789215138997</v>
      </c>
      <c r="E361" s="148">
        <v>0.22580545893593204</v>
      </c>
      <c r="F361" s="148">
        <v>0.13754615384615385</v>
      </c>
      <c r="G361" s="147">
        <v>1.1369596778290576</v>
      </c>
      <c r="H361" s="148">
        <v>0.12046381013832254</v>
      </c>
      <c r="I361" s="147">
        <v>1.2926809504084926</v>
      </c>
    </row>
    <row r="362" spans="1:9">
      <c r="A362" s="81">
        <v>359</v>
      </c>
      <c r="B362" s="145" t="s">
        <v>745</v>
      </c>
      <c r="C362" s="146">
        <v>1</v>
      </c>
      <c r="D362" s="147">
        <v>1.3875181422351235</v>
      </c>
      <c r="E362" s="148">
        <v>3.280961191976952E-2</v>
      </c>
      <c r="F362" s="148">
        <v>0.34700000000000003</v>
      </c>
      <c r="G362" s="147">
        <v>1.3584145498383671</v>
      </c>
      <c r="H362" s="148">
        <v>2.3736575951867372E-2</v>
      </c>
      <c r="I362" s="147">
        <v>1.3914426335933214</v>
      </c>
    </row>
    <row r="363" spans="1:9">
      <c r="A363" s="81">
        <v>360</v>
      </c>
      <c r="B363" s="145" t="s">
        <v>866</v>
      </c>
      <c r="C363" s="146">
        <v>3</v>
      </c>
      <c r="D363" s="147">
        <v>1.4194484760522499</v>
      </c>
      <c r="E363" s="148">
        <v>5.8513108388142131E-2</v>
      </c>
      <c r="F363" s="148">
        <v>0.11703333333333332</v>
      </c>
      <c r="G363" s="147">
        <v>1.3497152689529708</v>
      </c>
      <c r="H363" s="148">
        <v>2.7289588651523509E-2</v>
      </c>
      <c r="I363" s="147">
        <v>1.3875818056494835</v>
      </c>
    </row>
    <row r="364" spans="1:9">
      <c r="A364" s="81">
        <v>361</v>
      </c>
      <c r="B364" s="145" t="s">
        <v>746</v>
      </c>
      <c r="C364" s="146">
        <v>8</v>
      </c>
      <c r="D364" s="147">
        <v>1.5919552145967242</v>
      </c>
      <c r="E364" s="148">
        <v>4.8251986801504054E-2</v>
      </c>
      <c r="F364" s="148">
        <v>0.18991249999999998</v>
      </c>
      <c r="G364" s="147">
        <v>1.53206918656865</v>
      </c>
      <c r="H364" s="148">
        <v>6.5685973082442839E-2</v>
      </c>
      <c r="I364" s="147">
        <v>1.6397797126338531</v>
      </c>
    </row>
    <row r="365" spans="1:9">
      <c r="A365" s="81">
        <v>362</v>
      </c>
      <c r="B365" s="145" t="s">
        <v>747</v>
      </c>
      <c r="C365" s="146">
        <v>23</v>
      </c>
      <c r="D365" s="147">
        <v>1.1121190130624092</v>
      </c>
      <c r="E365" s="148">
        <v>0.36442977839833723</v>
      </c>
      <c r="F365" s="148">
        <v>0.27977391304347826</v>
      </c>
      <c r="G365" s="147">
        <v>0.88090600024329668</v>
      </c>
      <c r="H365" s="148">
        <v>5.7340578673236338E-2</v>
      </c>
      <c r="I365" s="147">
        <v>0.93449020962783047</v>
      </c>
    </row>
    <row r="366" spans="1:9">
      <c r="A366" s="81">
        <v>363</v>
      </c>
      <c r="B366" s="145" t="s">
        <v>748</v>
      </c>
      <c r="C366" s="146">
        <v>17</v>
      </c>
      <c r="D366" s="147">
        <v>1.4131963827174276</v>
      </c>
      <c r="E366" s="148">
        <v>6.2691453779891493E-2</v>
      </c>
      <c r="F366" s="148">
        <v>0.11442941176470589</v>
      </c>
      <c r="G366" s="147">
        <v>1.3388656320405268</v>
      </c>
      <c r="H366" s="148">
        <v>0.16219369703388162</v>
      </c>
      <c r="I366" s="147">
        <v>1.5980610641152837</v>
      </c>
    </row>
    <row r="367" spans="1:9">
      <c r="A367" s="81">
        <v>364</v>
      </c>
      <c r="B367" s="145" t="s">
        <v>867</v>
      </c>
      <c r="C367" s="146">
        <v>1</v>
      </c>
      <c r="D367" s="147">
        <v>1.4600870827285923</v>
      </c>
      <c r="E367" s="148">
        <v>4.4058615181609827E-2</v>
      </c>
      <c r="F367" s="148">
        <v>0</v>
      </c>
      <c r="G367" s="147">
        <v>1.3984723285623346</v>
      </c>
      <c r="H367" s="148">
        <v>1.7667327417616771E-2</v>
      </c>
      <c r="I367" s="147">
        <v>1.4236239591685289</v>
      </c>
    </row>
    <row r="368" spans="1:9">
      <c r="A368" s="81">
        <v>365</v>
      </c>
      <c r="B368" s="145" t="s">
        <v>749</v>
      </c>
      <c r="C368" s="146">
        <v>11</v>
      </c>
      <c r="D368" s="147">
        <v>1.5181422351233675</v>
      </c>
      <c r="E368" s="148">
        <v>6.8909318467292979E-2</v>
      </c>
      <c r="F368" s="148">
        <v>0.11914545454545457</v>
      </c>
      <c r="G368" s="147">
        <v>1.4312657138996137</v>
      </c>
      <c r="H368" s="148">
        <v>0.10660167262529593</v>
      </c>
      <c r="I368" s="147">
        <v>1.6020465564396791</v>
      </c>
    </row>
    <row r="369" spans="1:9">
      <c r="A369" s="81">
        <v>366</v>
      </c>
      <c r="B369" s="145" t="s">
        <v>750</v>
      </c>
      <c r="C369" s="146">
        <v>33</v>
      </c>
      <c r="D369" s="147">
        <v>0.95079825834542819</v>
      </c>
      <c r="E369" s="148">
        <v>6.5619419961951447E-2</v>
      </c>
      <c r="F369" s="148">
        <v>0.16385757575757573</v>
      </c>
      <c r="G369" s="147">
        <v>0.90134405124663053</v>
      </c>
      <c r="H369" s="148">
        <v>5.1797439621610271E-2</v>
      </c>
      <c r="I369" s="147">
        <v>0.95058175215951768</v>
      </c>
    </row>
    <row r="370" spans="1:9">
      <c r="A370" s="81">
        <v>367</v>
      </c>
      <c r="B370" s="145" t="s">
        <v>751</v>
      </c>
      <c r="C370" s="146">
        <v>68</v>
      </c>
      <c r="D370" s="147">
        <v>1.4401978175563082</v>
      </c>
      <c r="E370" s="148">
        <v>9.7222845565149332E-2</v>
      </c>
      <c r="F370" s="148">
        <v>0.16843676470588234</v>
      </c>
      <c r="G370" s="147">
        <v>1.3324715636636606</v>
      </c>
      <c r="H370" s="148">
        <v>6.0849271217812986E-2</v>
      </c>
      <c r="I370" s="147">
        <v>1.4188048018569921</v>
      </c>
    </row>
    <row r="371" spans="1:9">
      <c r="A371" s="81">
        <v>368</v>
      </c>
      <c r="B371" s="145" t="s">
        <v>752</v>
      </c>
      <c r="C371" s="146">
        <v>39</v>
      </c>
      <c r="D371" s="147">
        <v>1.5416960398092472</v>
      </c>
      <c r="E371" s="148">
        <v>7.0353122316723762E-2</v>
      </c>
      <c r="F371" s="148">
        <v>0.12241282051282051</v>
      </c>
      <c r="G371" s="147">
        <v>1.4520453127919075</v>
      </c>
      <c r="H371" s="148">
        <v>0.13435396359517801</v>
      </c>
      <c r="I371" s="147">
        <v>1.6774123044824458</v>
      </c>
    </row>
    <row r="372" spans="1:9">
      <c r="A372" s="81">
        <v>369</v>
      </c>
      <c r="B372" s="145" t="s">
        <v>753</v>
      </c>
      <c r="C372" s="146">
        <v>1</v>
      </c>
      <c r="D372" s="147" t="s">
        <v>453</v>
      </c>
      <c r="E372" s="148">
        <v>0.24118680195903069</v>
      </c>
      <c r="F372" s="148">
        <v>0</v>
      </c>
      <c r="G372" s="147" t="s">
        <v>453</v>
      </c>
      <c r="H372" s="148">
        <v>1.637947058691358E-2</v>
      </c>
      <c r="I372" s="147" t="s">
        <v>453</v>
      </c>
    </row>
    <row r="373" spans="1:9">
      <c r="A373" s="81">
        <v>370</v>
      </c>
      <c r="B373" s="145" t="s">
        <v>868</v>
      </c>
      <c r="C373" s="146">
        <v>3</v>
      </c>
      <c r="D373" s="147">
        <v>1.6429608127721336</v>
      </c>
      <c r="E373" s="148">
        <v>1.2871443606315812E-2</v>
      </c>
      <c r="F373" s="148">
        <v>8.2266666666666668E-2</v>
      </c>
      <c r="G373" s="147">
        <v>1.6237798277471915</v>
      </c>
      <c r="H373" s="148">
        <v>8.9003558088720288E-3</v>
      </c>
      <c r="I373" s="147">
        <v>1.6383618309866479</v>
      </c>
    </row>
    <row r="374" spans="1:9">
      <c r="A374" s="81">
        <v>371</v>
      </c>
      <c r="B374" s="145" t="s">
        <v>754</v>
      </c>
      <c r="C374" s="146">
        <v>1</v>
      </c>
      <c r="D374" s="147">
        <v>1.4891146589259798</v>
      </c>
      <c r="E374" s="148">
        <v>8.1679501322358475E-2</v>
      </c>
      <c r="F374" s="148">
        <v>8.0700000000000008E-2</v>
      </c>
      <c r="G374" s="147">
        <v>1.3851095971877061</v>
      </c>
      <c r="H374" s="148">
        <v>6.1631896917342825E-2</v>
      </c>
      <c r="I374" s="147">
        <v>1.4760834182635225</v>
      </c>
    </row>
    <row r="375" spans="1:9">
      <c r="A375" s="81">
        <v>372</v>
      </c>
      <c r="B375" s="149" t="s">
        <v>869</v>
      </c>
      <c r="C375" s="150">
        <v>11985</v>
      </c>
      <c r="D375" s="151">
        <v>1.3187908723404884</v>
      </c>
      <c r="E375" s="152">
        <v>4.0781245505808021E-4</v>
      </c>
      <c r="F375" s="152">
        <v>0.18278134334584939</v>
      </c>
      <c r="G375" s="151">
        <v>1.3183515027687398</v>
      </c>
      <c r="H375" s="152">
        <v>8.1310060530547193E-2</v>
      </c>
      <c r="I375" s="151">
        <v>1.4350342222427006</v>
      </c>
    </row>
  </sheetData>
  <autoFilter ref="B3:I326"/>
  <phoneticPr fontId="54"/>
  <hyperlinks>
    <hyperlink ref="B326" location="NODERFELASE!A1" display="Beta Cualitativo"/>
  </hyperlinks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Hoja7" enableFormatConditionsCalculation="0">
    <tabColor indexed="16"/>
    <pageSetUpPr fitToPage="1"/>
  </sheetPr>
  <dimension ref="A2:Z41"/>
  <sheetViews>
    <sheetView workbookViewId="0"/>
  </sheetViews>
  <sheetFormatPr baseColWidth="10" defaultRowHeight="12.75" outlineLevelCol="1"/>
  <cols>
    <col min="1" max="1" width="8.28515625" customWidth="1"/>
    <col min="2" max="2" width="3" customWidth="1"/>
    <col min="3" max="3" width="37.42578125" customWidth="1"/>
    <col min="4" max="4" width="7.7109375" customWidth="1"/>
    <col min="5" max="5" width="11.140625" customWidth="1"/>
    <col min="6" max="6" width="9" customWidth="1"/>
    <col min="7" max="7" width="7.5703125" customWidth="1"/>
    <col min="8" max="8" width="9.42578125" customWidth="1"/>
    <col min="9" max="9" width="9.42578125" bestFit="1" customWidth="1"/>
    <col min="10" max="11" width="0" hidden="1" customWidth="1" outlineLevel="1"/>
    <col min="12" max="16" width="4.140625" hidden="1" customWidth="1" outlineLevel="1"/>
    <col min="17" max="17" width="7.42578125" hidden="1" customWidth="1" outlineLevel="1"/>
    <col min="18" max="25" width="0" hidden="1" customWidth="1" outlineLevel="1"/>
    <col min="26" max="26" width="11.42578125" collapsed="1"/>
  </cols>
  <sheetData>
    <row r="2" spans="1:22" ht="15.75">
      <c r="D2" s="87" t="s">
        <v>808</v>
      </c>
    </row>
    <row r="3" spans="1:22" ht="15">
      <c r="A3" s="88"/>
      <c r="B3" s="88"/>
      <c r="C3" s="88"/>
      <c r="D3" s="89" t="s">
        <v>755</v>
      </c>
      <c r="E3" s="89" t="s">
        <v>756</v>
      </c>
      <c r="F3" s="89" t="s">
        <v>757</v>
      </c>
      <c r="G3" s="89" t="s">
        <v>805</v>
      </c>
      <c r="H3" s="89" t="s">
        <v>758</v>
      </c>
      <c r="I3" s="114" t="s">
        <v>806</v>
      </c>
      <c r="J3" s="90" t="s">
        <v>759</v>
      </c>
      <c r="K3" s="115">
        <v>5</v>
      </c>
    </row>
    <row r="4" spans="1:22" ht="16.5" thickBot="1">
      <c r="A4" s="91" t="s">
        <v>760</v>
      </c>
      <c r="B4" s="88"/>
      <c r="C4" s="92" t="s">
        <v>761</v>
      </c>
      <c r="D4" s="93">
        <v>1</v>
      </c>
      <c r="E4" s="93">
        <v>2</v>
      </c>
      <c r="F4" s="93">
        <v>3</v>
      </c>
      <c r="G4" s="93">
        <v>4</v>
      </c>
      <c r="H4" s="93">
        <v>5</v>
      </c>
      <c r="I4" s="116"/>
      <c r="J4" s="94" t="s">
        <v>762</v>
      </c>
      <c r="K4" s="88"/>
      <c r="N4" s="95"/>
    </row>
    <row r="5" spans="1:22" ht="16.5">
      <c r="A5" s="96">
        <v>0.15</v>
      </c>
      <c r="B5" s="97" t="s">
        <v>763</v>
      </c>
      <c r="C5" s="98" t="s">
        <v>764</v>
      </c>
      <c r="D5" s="99"/>
      <c r="E5" s="99"/>
      <c r="F5" s="99" t="s">
        <v>765</v>
      </c>
      <c r="G5" s="99"/>
      <c r="H5" s="99"/>
      <c r="I5" s="114" t="str">
        <f t="shared" ref="I5:I15" si="0">IF(COUNTA(D5:H5)&gt;=2,"Borrar uno",IF(COUNTA(D5:H5)=0,"No ha calificado",""))</f>
        <v/>
      </c>
      <c r="J5" s="101">
        <f t="shared" ref="J5:J15" si="1">SUM(R5:V5)*A5</f>
        <v>0.44999999999999996</v>
      </c>
      <c r="K5" s="102">
        <f t="shared" ref="K5:K15" si="2">3*A5</f>
        <v>0.44999999999999996</v>
      </c>
      <c r="R5">
        <f t="shared" ref="R5:R15" si="3">IF(D5="a",1,0)</f>
        <v>0</v>
      </c>
      <c r="S5">
        <f t="shared" ref="S5:S15" si="4">IF(E5="a",2,0)</f>
        <v>0</v>
      </c>
      <c r="T5">
        <f t="shared" ref="T5:T15" si="5">IF(F5="a",3,0)</f>
        <v>3</v>
      </c>
      <c r="U5">
        <f t="shared" ref="U5:U15" si="6">IF(G5="a",4,0)</f>
        <v>0</v>
      </c>
      <c r="V5">
        <f t="shared" ref="V5:V15" si="7">IF(H5="a",5,0)</f>
        <v>0</v>
      </c>
    </row>
    <row r="6" spans="1:22" ht="16.5">
      <c r="A6" s="96">
        <v>0.1</v>
      </c>
      <c r="B6" s="97" t="s">
        <v>766</v>
      </c>
      <c r="C6" s="98" t="s">
        <v>767</v>
      </c>
      <c r="D6" s="99"/>
      <c r="E6" s="99"/>
      <c r="F6" s="99"/>
      <c r="G6" s="99"/>
      <c r="H6" s="99" t="s">
        <v>765</v>
      </c>
      <c r="I6" s="114" t="str">
        <f t="shared" si="0"/>
        <v/>
      </c>
      <c r="J6" s="101">
        <f t="shared" si="1"/>
        <v>0.5</v>
      </c>
      <c r="K6" s="102">
        <f t="shared" si="2"/>
        <v>0.30000000000000004</v>
      </c>
      <c r="R6">
        <f t="shared" si="3"/>
        <v>0</v>
      </c>
      <c r="S6">
        <f t="shared" si="4"/>
        <v>0</v>
      </c>
      <c r="T6">
        <f t="shared" si="5"/>
        <v>0</v>
      </c>
      <c r="U6">
        <f t="shared" si="6"/>
        <v>0</v>
      </c>
      <c r="V6">
        <f t="shared" si="7"/>
        <v>5</v>
      </c>
    </row>
    <row r="7" spans="1:22" ht="16.5">
      <c r="A7" s="96">
        <v>0.05</v>
      </c>
      <c r="B7" s="97" t="s">
        <v>404</v>
      </c>
      <c r="C7" s="98" t="s">
        <v>768</v>
      </c>
      <c r="D7" s="99"/>
      <c r="E7" s="99"/>
      <c r="F7" s="99"/>
      <c r="G7" s="99" t="s">
        <v>765</v>
      </c>
      <c r="H7" s="99"/>
      <c r="I7" s="114" t="str">
        <f t="shared" si="0"/>
        <v/>
      </c>
      <c r="J7" s="101">
        <f t="shared" si="1"/>
        <v>0.2</v>
      </c>
      <c r="K7" s="102">
        <f t="shared" si="2"/>
        <v>0.15000000000000002</v>
      </c>
      <c r="R7">
        <f t="shared" si="3"/>
        <v>0</v>
      </c>
      <c r="S7">
        <f t="shared" si="4"/>
        <v>0</v>
      </c>
      <c r="T7">
        <f t="shared" si="5"/>
        <v>0</v>
      </c>
      <c r="U7">
        <f t="shared" si="6"/>
        <v>4</v>
      </c>
      <c r="V7">
        <f t="shared" si="7"/>
        <v>0</v>
      </c>
    </row>
    <row r="8" spans="1:22" ht="16.5">
      <c r="A8" s="96">
        <v>0.05</v>
      </c>
      <c r="B8" s="97" t="s">
        <v>769</v>
      </c>
      <c r="C8" s="98" t="s">
        <v>770</v>
      </c>
      <c r="D8" s="99"/>
      <c r="E8" s="99" t="s">
        <v>765</v>
      </c>
      <c r="F8" s="99"/>
      <c r="G8" s="99"/>
      <c r="H8" s="99"/>
      <c r="I8" s="114" t="str">
        <f t="shared" si="0"/>
        <v/>
      </c>
      <c r="J8" s="101">
        <f t="shared" si="1"/>
        <v>0.1</v>
      </c>
      <c r="K8" s="102">
        <f t="shared" si="2"/>
        <v>0.15000000000000002</v>
      </c>
      <c r="R8">
        <f t="shared" si="3"/>
        <v>0</v>
      </c>
      <c r="S8">
        <f t="shared" si="4"/>
        <v>2</v>
      </c>
      <c r="T8">
        <f t="shared" si="5"/>
        <v>0</v>
      </c>
      <c r="U8">
        <f t="shared" si="6"/>
        <v>0</v>
      </c>
      <c r="V8">
        <f t="shared" si="7"/>
        <v>0</v>
      </c>
    </row>
    <row r="9" spans="1:22" ht="16.5">
      <c r="A9" s="96">
        <v>0.05</v>
      </c>
      <c r="B9" s="97" t="s">
        <v>771</v>
      </c>
      <c r="C9" s="98" t="s">
        <v>772</v>
      </c>
      <c r="D9" s="99"/>
      <c r="E9" s="99" t="s">
        <v>765</v>
      </c>
      <c r="F9" s="99"/>
      <c r="G9" s="99"/>
      <c r="H9" s="99"/>
      <c r="I9" s="114" t="str">
        <f t="shared" si="0"/>
        <v/>
      </c>
      <c r="J9" s="101">
        <f t="shared" si="1"/>
        <v>0.1</v>
      </c>
      <c r="K9" s="102">
        <f t="shared" si="2"/>
        <v>0.15000000000000002</v>
      </c>
      <c r="R9">
        <f t="shared" si="3"/>
        <v>0</v>
      </c>
      <c r="S9">
        <f t="shared" si="4"/>
        <v>2</v>
      </c>
      <c r="T9">
        <f t="shared" si="5"/>
        <v>0</v>
      </c>
      <c r="U9">
        <f t="shared" si="6"/>
        <v>0</v>
      </c>
      <c r="V9">
        <f t="shared" si="7"/>
        <v>0</v>
      </c>
    </row>
    <row r="10" spans="1:22" ht="16.5">
      <c r="A10" s="96">
        <v>0.15</v>
      </c>
      <c r="B10" s="97" t="s">
        <v>773</v>
      </c>
      <c r="C10" s="98" t="s">
        <v>774</v>
      </c>
      <c r="D10" s="99"/>
      <c r="E10" s="99"/>
      <c r="F10" s="99" t="s">
        <v>765</v>
      </c>
      <c r="G10" s="99"/>
      <c r="H10" s="99"/>
      <c r="I10" s="114" t="str">
        <f t="shared" si="0"/>
        <v/>
      </c>
      <c r="J10" s="101">
        <f t="shared" si="1"/>
        <v>0.44999999999999996</v>
      </c>
      <c r="K10" s="102">
        <f t="shared" si="2"/>
        <v>0.44999999999999996</v>
      </c>
      <c r="R10">
        <f t="shared" si="3"/>
        <v>0</v>
      </c>
      <c r="S10">
        <f t="shared" si="4"/>
        <v>0</v>
      </c>
      <c r="T10">
        <f t="shared" si="5"/>
        <v>3</v>
      </c>
      <c r="U10">
        <f t="shared" si="6"/>
        <v>0</v>
      </c>
      <c r="V10">
        <f t="shared" si="7"/>
        <v>0</v>
      </c>
    </row>
    <row r="11" spans="1:22" ht="16.5">
      <c r="A11" s="96">
        <v>0.15</v>
      </c>
      <c r="B11" s="97" t="s">
        <v>769</v>
      </c>
      <c r="C11" s="98" t="s">
        <v>775</v>
      </c>
      <c r="D11" s="99"/>
      <c r="E11" s="99" t="s">
        <v>765</v>
      </c>
      <c r="F11" s="99"/>
      <c r="G11" s="99"/>
      <c r="H11" s="99"/>
      <c r="I11" s="114" t="str">
        <f t="shared" si="0"/>
        <v/>
      </c>
      <c r="J11" s="101">
        <f t="shared" si="1"/>
        <v>0.3</v>
      </c>
      <c r="K11" s="102">
        <f t="shared" si="2"/>
        <v>0.44999999999999996</v>
      </c>
      <c r="R11">
        <f t="shared" si="3"/>
        <v>0</v>
      </c>
      <c r="S11">
        <f t="shared" si="4"/>
        <v>2</v>
      </c>
      <c r="T11">
        <f t="shared" si="5"/>
        <v>0</v>
      </c>
      <c r="U11">
        <f t="shared" si="6"/>
        <v>0</v>
      </c>
      <c r="V11">
        <f t="shared" si="7"/>
        <v>0</v>
      </c>
    </row>
    <row r="12" spans="1:22" ht="16.5">
      <c r="A12" s="96">
        <v>0.12</v>
      </c>
      <c r="B12" s="97" t="s">
        <v>776</v>
      </c>
      <c r="C12" s="98" t="s">
        <v>777</v>
      </c>
      <c r="D12" s="99"/>
      <c r="E12" s="99"/>
      <c r="F12" s="99"/>
      <c r="G12" s="99"/>
      <c r="H12" s="99" t="s">
        <v>765</v>
      </c>
      <c r="I12" s="114" t="str">
        <f t="shared" si="0"/>
        <v/>
      </c>
      <c r="J12" s="101">
        <f t="shared" si="1"/>
        <v>0.6</v>
      </c>
      <c r="K12" s="102">
        <f t="shared" si="2"/>
        <v>0.36</v>
      </c>
      <c r="R12">
        <f t="shared" si="3"/>
        <v>0</v>
      </c>
      <c r="S12">
        <f t="shared" si="4"/>
        <v>0</v>
      </c>
      <c r="T12">
        <f t="shared" si="5"/>
        <v>0</v>
      </c>
      <c r="U12">
        <f t="shared" si="6"/>
        <v>0</v>
      </c>
      <c r="V12">
        <f t="shared" si="7"/>
        <v>5</v>
      </c>
    </row>
    <row r="13" spans="1:22" ht="16.5">
      <c r="A13" s="96">
        <v>0.1</v>
      </c>
      <c r="B13" s="97" t="s">
        <v>778</v>
      </c>
      <c r="C13" s="98" t="s">
        <v>779</v>
      </c>
      <c r="D13" s="99"/>
      <c r="E13" s="99"/>
      <c r="F13" s="99" t="s">
        <v>765</v>
      </c>
      <c r="G13" s="99"/>
      <c r="H13" s="99"/>
      <c r="I13" s="114" t="str">
        <f t="shared" si="0"/>
        <v/>
      </c>
      <c r="J13" s="101">
        <f t="shared" si="1"/>
        <v>0.30000000000000004</v>
      </c>
      <c r="K13" s="102">
        <f t="shared" si="2"/>
        <v>0.30000000000000004</v>
      </c>
      <c r="R13">
        <f t="shared" si="3"/>
        <v>0</v>
      </c>
      <c r="S13">
        <f t="shared" si="4"/>
        <v>0</v>
      </c>
      <c r="T13">
        <f t="shared" si="5"/>
        <v>3</v>
      </c>
      <c r="U13">
        <f t="shared" si="6"/>
        <v>0</v>
      </c>
      <c r="V13">
        <f t="shared" si="7"/>
        <v>0</v>
      </c>
    </row>
    <row r="14" spans="1:22" ht="16.5">
      <c r="A14" s="96">
        <v>0.02</v>
      </c>
      <c r="B14" s="97" t="s">
        <v>780</v>
      </c>
      <c r="C14" s="98" t="s">
        <v>781</v>
      </c>
      <c r="D14" s="99" t="s">
        <v>765</v>
      </c>
      <c r="E14" s="99"/>
      <c r="F14" s="99"/>
      <c r="G14" s="99"/>
      <c r="H14" s="99"/>
      <c r="I14" s="114" t="str">
        <f t="shared" si="0"/>
        <v/>
      </c>
      <c r="J14" s="101">
        <f t="shared" si="1"/>
        <v>0.02</v>
      </c>
      <c r="K14" s="102">
        <f t="shared" si="2"/>
        <v>0.06</v>
      </c>
      <c r="R14">
        <f t="shared" si="3"/>
        <v>1</v>
      </c>
      <c r="S14">
        <f t="shared" si="4"/>
        <v>0</v>
      </c>
      <c r="T14">
        <f t="shared" si="5"/>
        <v>0</v>
      </c>
      <c r="U14">
        <f t="shared" si="6"/>
        <v>0</v>
      </c>
      <c r="V14">
        <f t="shared" si="7"/>
        <v>0</v>
      </c>
    </row>
    <row r="15" spans="1:22" ht="16.5">
      <c r="A15" s="96">
        <v>0.06</v>
      </c>
      <c r="B15" s="97" t="s">
        <v>769</v>
      </c>
      <c r="C15" s="98" t="s">
        <v>782</v>
      </c>
      <c r="D15" s="99"/>
      <c r="E15" s="99" t="s">
        <v>765</v>
      </c>
      <c r="F15" s="99"/>
      <c r="G15" s="99"/>
      <c r="H15" s="99"/>
      <c r="I15" s="114" t="str">
        <f t="shared" si="0"/>
        <v/>
      </c>
      <c r="J15" s="101">
        <f t="shared" si="1"/>
        <v>0.12</v>
      </c>
      <c r="K15" s="102">
        <f t="shared" si="2"/>
        <v>0.18</v>
      </c>
      <c r="R15">
        <f t="shared" si="3"/>
        <v>0</v>
      </c>
      <c r="S15">
        <f t="shared" si="4"/>
        <v>2</v>
      </c>
      <c r="T15">
        <f t="shared" si="5"/>
        <v>0</v>
      </c>
      <c r="U15">
        <f t="shared" si="6"/>
        <v>0</v>
      </c>
      <c r="V15">
        <f t="shared" si="7"/>
        <v>0</v>
      </c>
    </row>
    <row r="16" spans="1:22" ht="15.75" thickBot="1">
      <c r="A16" s="103">
        <f>SUM(A5:A15)</f>
        <v>1</v>
      </c>
      <c r="B16" s="88"/>
      <c r="C16" s="88"/>
      <c r="D16" s="88"/>
      <c r="E16" s="88"/>
      <c r="F16" s="88"/>
      <c r="G16" s="88"/>
      <c r="H16" s="88"/>
      <c r="I16" s="88"/>
      <c r="J16" s="104">
        <f>SUM(J5:J15)</f>
        <v>3.14</v>
      </c>
      <c r="K16" s="105">
        <f>SUM(K5:K15)</f>
        <v>3</v>
      </c>
    </row>
    <row r="17" spans="1:11" ht="16.5" thickBot="1">
      <c r="A17" s="31" t="str">
        <f>IF(A16&lt;&gt;1,"No cuadra","")</f>
        <v/>
      </c>
      <c r="B17" s="88"/>
      <c r="C17" s="106" t="s">
        <v>783</v>
      </c>
      <c r="D17" s="117">
        <f>J16</f>
        <v>3.14</v>
      </c>
      <c r="E17" s="118" t="s">
        <v>807</v>
      </c>
      <c r="F17" s="107">
        <f>K3/10</f>
        <v>0.5</v>
      </c>
      <c r="G17" s="108" t="s">
        <v>784</v>
      </c>
      <c r="H17" s="119">
        <f>J16*F17</f>
        <v>1.57</v>
      </c>
      <c r="I17" s="88"/>
      <c r="J17" s="100"/>
      <c r="K17" s="88"/>
    </row>
    <row r="18" spans="1:11">
      <c r="A18" s="120">
        <f>1-A16</f>
        <v>0</v>
      </c>
    </row>
    <row r="19" spans="1:11" ht="14.25">
      <c r="B19" s="99" t="s">
        <v>765</v>
      </c>
    </row>
    <row r="20" spans="1:11">
      <c r="G20" s="95"/>
      <c r="H20" s="95">
        <f>H17</f>
        <v>1.57</v>
      </c>
    </row>
    <row r="21" spans="1:11">
      <c r="G21" s="95">
        <v>0</v>
      </c>
      <c r="H21" s="95">
        <f t="dataTable" ref="H21:H41" dt2D="0" dtr="0" r1="F17"/>
        <v>0</v>
      </c>
    </row>
    <row r="22" spans="1:11">
      <c r="G22" s="95">
        <v>0.05</v>
      </c>
      <c r="H22" s="95">
        <v>0.15700000000000003</v>
      </c>
    </row>
    <row r="23" spans="1:11">
      <c r="G23" s="95">
        <v>0.1</v>
      </c>
      <c r="H23" s="95">
        <v>0.31400000000000006</v>
      </c>
    </row>
    <row r="24" spans="1:11">
      <c r="G24" s="95">
        <v>0.15</v>
      </c>
      <c r="H24" s="95">
        <v>0.47099999999999997</v>
      </c>
    </row>
    <row r="25" spans="1:11">
      <c r="G25" s="95">
        <v>0.2</v>
      </c>
      <c r="H25" s="95">
        <v>0.62800000000000011</v>
      </c>
    </row>
    <row r="26" spans="1:11">
      <c r="G26" s="95">
        <v>0.25</v>
      </c>
      <c r="H26" s="95">
        <v>0.78500000000000003</v>
      </c>
    </row>
    <row r="27" spans="1:11">
      <c r="G27" s="95">
        <v>0.3</v>
      </c>
      <c r="H27" s="95">
        <v>0.94199999999999995</v>
      </c>
    </row>
    <row r="28" spans="1:11">
      <c r="G28" s="95">
        <v>0.35</v>
      </c>
      <c r="H28" s="95">
        <v>1.099</v>
      </c>
    </row>
    <row r="29" spans="1:11">
      <c r="G29" s="95">
        <v>0.4</v>
      </c>
      <c r="H29" s="95">
        <v>1.2560000000000002</v>
      </c>
    </row>
    <row r="30" spans="1:11">
      <c r="G30" s="95">
        <v>0.45</v>
      </c>
      <c r="H30" s="95">
        <v>1.413</v>
      </c>
    </row>
    <row r="31" spans="1:11">
      <c r="G31" s="109">
        <v>0.5</v>
      </c>
      <c r="H31" s="109">
        <v>1.57</v>
      </c>
    </row>
    <row r="32" spans="1:11">
      <c r="G32" s="95">
        <v>0.55000000000000004</v>
      </c>
      <c r="H32" s="95">
        <v>1.7270000000000003</v>
      </c>
    </row>
    <row r="33" spans="7:8">
      <c r="G33" s="95">
        <v>0.6</v>
      </c>
      <c r="H33" s="95">
        <v>1.8839999999999999</v>
      </c>
    </row>
    <row r="34" spans="7:8">
      <c r="G34" s="95">
        <v>0.65</v>
      </c>
      <c r="H34" s="95">
        <v>2.0410000000000004</v>
      </c>
    </row>
    <row r="35" spans="7:8">
      <c r="G35" s="95">
        <v>0.7</v>
      </c>
      <c r="H35" s="95">
        <v>2.198</v>
      </c>
    </row>
    <row r="36" spans="7:8">
      <c r="G36" s="95">
        <v>0.75</v>
      </c>
      <c r="H36" s="95">
        <v>2.355</v>
      </c>
    </row>
    <row r="37" spans="7:8">
      <c r="G37" s="95">
        <v>0.8</v>
      </c>
      <c r="H37" s="95">
        <v>2.5120000000000005</v>
      </c>
    </row>
    <row r="38" spans="7:8">
      <c r="G38" s="95">
        <v>0.85</v>
      </c>
      <c r="H38" s="95">
        <v>2.669</v>
      </c>
    </row>
    <row r="39" spans="7:8">
      <c r="G39" s="95">
        <v>0.9</v>
      </c>
      <c r="H39" s="95">
        <v>2.8260000000000001</v>
      </c>
    </row>
    <row r="40" spans="7:8">
      <c r="G40" s="95">
        <v>0.95</v>
      </c>
      <c r="H40" s="95">
        <v>2.9830000000000001</v>
      </c>
    </row>
    <row r="41" spans="7:8">
      <c r="G41" s="95">
        <v>1</v>
      </c>
      <c r="H41" s="95">
        <v>3.14</v>
      </c>
    </row>
  </sheetData>
  <phoneticPr fontId="2" type="noConversion"/>
  <conditionalFormatting sqref="I5:I15">
    <cfRule type="expression" dxfId="7" priority="1" stopIfTrue="1">
      <formula>COUNTA(D5:H5)=0</formula>
    </cfRule>
  </conditionalFormatting>
  <conditionalFormatting sqref="A18">
    <cfRule type="expression" dxfId="6" priority="2" stopIfTrue="1">
      <formula>$A$16=1</formula>
    </cfRule>
  </conditionalFormatting>
  <conditionalFormatting sqref="H5:H15">
    <cfRule type="expression" dxfId="5" priority="3" stopIfTrue="1">
      <formula>V5=5</formula>
    </cfRule>
  </conditionalFormatting>
  <conditionalFormatting sqref="F5:F15">
    <cfRule type="expression" dxfId="4" priority="4" stopIfTrue="1">
      <formula>T5=3</formula>
    </cfRule>
  </conditionalFormatting>
  <conditionalFormatting sqref="E5:E15">
    <cfRule type="expression" dxfId="3" priority="5" stopIfTrue="1">
      <formula>S5=2</formula>
    </cfRule>
  </conditionalFormatting>
  <conditionalFormatting sqref="D5:D15">
    <cfRule type="expression" dxfId="2" priority="6" stopIfTrue="1">
      <formula>R5=1</formula>
    </cfRule>
  </conditionalFormatting>
  <conditionalFormatting sqref="A17">
    <cfRule type="expression" dxfId="1" priority="7" stopIfTrue="1">
      <formula>$A$16&lt;&gt;1</formula>
    </cfRule>
  </conditionalFormatting>
  <conditionalFormatting sqref="G5:G15">
    <cfRule type="expression" dxfId="0" priority="8" stopIfTrue="1">
      <formula>U5=4</formula>
    </cfRule>
  </conditionalFormatting>
  <dataValidations count="1">
    <dataValidation operator="equal" allowBlank="1" showInputMessage="1" showErrorMessage="1" sqref="D5:H15"/>
  </dataValidations>
  <pageMargins left="0.75" right="0.46" top="0.48" bottom="0.49" header="0" footer="0"/>
  <pageSetup scale="59" orientation="landscape" horizontalDpi="4294967293" r:id="rId1"/>
  <headerFooter alignWithMargins="0">
    <oddFooter>&amp;L&amp;Z&amp;F&amp;R&amp;D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Hoja11"/>
  <dimension ref="A42:G55"/>
  <sheetViews>
    <sheetView zoomScale="85" zoomScaleNormal="85" workbookViewId="0"/>
  </sheetViews>
  <sheetFormatPr baseColWidth="10" defaultRowHeight="15"/>
  <cols>
    <col min="1" max="1" width="33.140625" style="203" bestFit="1" customWidth="1"/>
    <col min="2" max="2" width="10" style="203" customWidth="1"/>
    <col min="3" max="3" width="11" style="203" bestFit="1" customWidth="1"/>
    <col min="4" max="4" width="9.28515625" style="203" bestFit="1" customWidth="1"/>
    <col min="5" max="5" width="10" style="203" customWidth="1"/>
    <col min="6" max="7" width="11" style="203" bestFit="1" customWidth="1"/>
    <col min="8" max="16384" width="11.42578125" style="203"/>
  </cols>
  <sheetData>
    <row r="42" spans="1:7" ht="15.75" thickBot="1">
      <c r="A42" s="200"/>
      <c r="B42" s="201" t="s">
        <v>909</v>
      </c>
      <c r="C42" s="201"/>
      <c r="D42" s="202"/>
      <c r="E42" s="201" t="s">
        <v>911</v>
      </c>
      <c r="F42" s="201"/>
      <c r="G42" s="202"/>
    </row>
    <row r="43" spans="1:7">
      <c r="A43" s="204" t="s">
        <v>910</v>
      </c>
      <c r="B43" s="214" t="s">
        <v>912</v>
      </c>
      <c r="C43" s="214" t="s">
        <v>913</v>
      </c>
      <c r="D43" s="204" t="s">
        <v>914</v>
      </c>
      <c r="E43" s="214" t="s">
        <v>912</v>
      </c>
      <c r="F43" s="214" t="s">
        <v>913</v>
      </c>
      <c r="G43" s="204" t="s">
        <v>915</v>
      </c>
    </row>
    <row r="44" spans="1:7">
      <c r="A44" s="207" t="s">
        <v>2</v>
      </c>
      <c r="B44" s="208">
        <v>446096.76472594682</v>
      </c>
      <c r="C44" s="208">
        <v>1017457.7846194165</v>
      </c>
      <c r="D44" s="209">
        <v>571361.01989346964</v>
      </c>
      <c r="E44" s="208">
        <v>743689.68689107988</v>
      </c>
      <c r="F44" s="208">
        <v>1256310.3131089201</v>
      </c>
      <c r="G44" s="209">
        <v>1000000</v>
      </c>
    </row>
    <row r="45" spans="1:7">
      <c r="A45" s="207" t="s">
        <v>5</v>
      </c>
      <c r="B45" s="208">
        <v>592006.38468757854</v>
      </c>
      <c r="C45" s="208">
        <v>771718.17705316341</v>
      </c>
      <c r="D45" s="209">
        <v>179711.79236558487</v>
      </c>
      <c r="E45" s="215">
        <v>0.6235424868893541</v>
      </c>
      <c r="F45" s="215">
        <v>0.56732050807568879</v>
      </c>
      <c r="G45" s="216">
        <v>0.57999999999999996</v>
      </c>
    </row>
    <row r="46" spans="1:7">
      <c r="A46" s="207" t="s">
        <v>273</v>
      </c>
      <c r="B46" s="208">
        <v>700316.00862869038</v>
      </c>
      <c r="C46" s="208">
        <v>815730.78800521209</v>
      </c>
      <c r="D46" s="209">
        <v>115414.77937652171</v>
      </c>
      <c r="E46" s="217">
        <v>66.784161637422514</v>
      </c>
      <c r="F46" s="217">
        <v>41.618950038622252</v>
      </c>
      <c r="G46" s="218">
        <v>60</v>
      </c>
    </row>
    <row r="47" spans="1:7">
      <c r="A47" s="207" t="s">
        <v>272</v>
      </c>
      <c r="B47" s="208">
        <v>681987.64467741339</v>
      </c>
      <c r="C47" s="208">
        <v>780669.20735383919</v>
      </c>
      <c r="D47" s="209">
        <v>98681.56267642579</v>
      </c>
      <c r="E47" s="217">
        <v>63</v>
      </c>
      <c r="F47" s="217">
        <v>87</v>
      </c>
      <c r="G47" s="218">
        <v>75</v>
      </c>
    </row>
    <row r="48" spans="1:7">
      <c r="A48" s="207" t="s">
        <v>9</v>
      </c>
      <c r="B48" s="208">
        <v>741710.39491797576</v>
      </c>
      <c r="C48" s="208">
        <v>825319.12422225648</v>
      </c>
      <c r="D48" s="209">
        <v>83608.729304280714</v>
      </c>
      <c r="E48" s="215">
        <v>5.6999999999999995E-2</v>
      </c>
      <c r="F48" s="215">
        <v>3.3000000000000002E-2</v>
      </c>
      <c r="G48" s="216">
        <v>0.06</v>
      </c>
    </row>
    <row r="49" spans="1:7">
      <c r="A49" s="207" t="s">
        <v>10</v>
      </c>
      <c r="B49" s="208">
        <v>696939.98484459519</v>
      </c>
      <c r="C49" s="208">
        <v>752038.04673735471</v>
      </c>
      <c r="D49" s="209">
        <v>55098.061892759521</v>
      </c>
      <c r="E49" s="208">
        <v>300000</v>
      </c>
      <c r="F49" s="208">
        <v>220000</v>
      </c>
      <c r="G49" s="209">
        <v>250000</v>
      </c>
    </row>
    <row r="50" spans="1:7">
      <c r="A50" s="207" t="s">
        <v>7</v>
      </c>
      <c r="B50" s="208">
        <v>725980.7326194772</v>
      </c>
      <c r="C50" s="208">
        <v>768246.22104579816</v>
      </c>
      <c r="D50" s="209">
        <v>42265.488426320953</v>
      </c>
      <c r="E50" s="208">
        <v>102500</v>
      </c>
      <c r="F50" s="208">
        <v>82500</v>
      </c>
      <c r="G50" s="209">
        <v>100000</v>
      </c>
    </row>
    <row r="51" spans="1:7">
      <c r="A51" s="207" t="s">
        <v>276</v>
      </c>
      <c r="B51" s="208">
        <v>706912.9619053296</v>
      </c>
      <c r="C51" s="208">
        <v>738060.58834920416</v>
      </c>
      <c r="D51" s="209">
        <v>31147.626443874557</v>
      </c>
      <c r="E51" s="215">
        <v>0.04</v>
      </c>
      <c r="F51" s="215">
        <v>0.36000000000000004</v>
      </c>
      <c r="G51" s="216">
        <v>0.3</v>
      </c>
    </row>
    <row r="52" spans="1:7">
      <c r="A52" s="207" t="s">
        <v>267</v>
      </c>
      <c r="B52" s="208">
        <v>704109.92912342947</v>
      </c>
      <c r="C52" s="208">
        <v>734167.95576231473</v>
      </c>
      <c r="D52" s="209">
        <v>30058.026638885261</v>
      </c>
      <c r="E52" s="219">
        <v>0.18464466094067264</v>
      </c>
      <c r="F52" s="219">
        <v>0.11267766952966368</v>
      </c>
      <c r="G52" s="220">
        <v>0.12</v>
      </c>
    </row>
    <row r="53" spans="1:7" ht="15.75" thickBot="1">
      <c r="A53" s="211" t="s">
        <v>6</v>
      </c>
      <c r="B53" s="212">
        <v>707042.20133440499</v>
      </c>
      <c r="C53" s="212">
        <v>731261.44336421171</v>
      </c>
      <c r="D53" s="213">
        <v>24219.242029806715</v>
      </c>
      <c r="E53" s="221">
        <v>4</v>
      </c>
      <c r="F53" s="221">
        <v>6</v>
      </c>
      <c r="G53" s="222">
        <v>6</v>
      </c>
    </row>
    <row r="55" spans="1:7">
      <c r="A55" s="203" t="s">
        <v>916</v>
      </c>
    </row>
  </sheetData>
  <pageMargins left="0.7" right="0.7" top="0.75" bottom="0.75" header="0.3" footer="0.3"/>
  <pageSetup paperSize="9" orientation="portrait" horizontalDpi="4294967293" verticalDpi="0" r:id="rId1"/>
  <rowBreaks count="1" manualBreakCount="1">
    <brk id="41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Hoja12"/>
  <dimension ref="A23:G34"/>
  <sheetViews>
    <sheetView workbookViewId="0"/>
  </sheetViews>
  <sheetFormatPr baseColWidth="10" defaultRowHeight="15"/>
  <cols>
    <col min="1" max="1" width="33.140625" style="203" bestFit="1" customWidth="1"/>
    <col min="2" max="5" width="8.42578125" style="203" customWidth="1"/>
    <col min="6" max="6" width="10" style="203" customWidth="1"/>
    <col min="7" max="16384" width="11.42578125" style="203"/>
  </cols>
  <sheetData>
    <row r="23" spans="1:7" ht="15.75" thickBot="1">
      <c r="A23" s="200"/>
      <c r="B23" s="201" t="s">
        <v>909</v>
      </c>
      <c r="C23" s="201"/>
      <c r="D23" s="201"/>
      <c r="E23" s="201"/>
      <c r="F23" s="202"/>
    </row>
    <row r="24" spans="1:7">
      <c r="A24" s="204" t="s">
        <v>910</v>
      </c>
      <c r="B24" s="205">
        <v>0.1</v>
      </c>
      <c r="C24" s="205">
        <v>0.3</v>
      </c>
      <c r="D24" s="205">
        <v>0.5</v>
      </c>
      <c r="E24" s="205">
        <v>0.7</v>
      </c>
      <c r="F24" s="206">
        <v>0.9</v>
      </c>
    </row>
    <row r="25" spans="1:7">
      <c r="A25" s="207" t="s">
        <v>2</v>
      </c>
      <c r="B25" s="208">
        <v>446096.76472594682</v>
      </c>
      <c r="C25" s="208">
        <v>614406.32440101146</v>
      </c>
      <c r="D25" s="208">
        <v>731261.44336421171</v>
      </c>
      <c r="E25" s="208">
        <v>848281.96323807398</v>
      </c>
      <c r="F25" s="209">
        <v>1017457.7846194165</v>
      </c>
      <c r="G25" s="210"/>
    </row>
    <row r="26" spans="1:7">
      <c r="A26" s="207" t="s">
        <v>5</v>
      </c>
      <c r="B26" s="208">
        <v>771718.17705316341</v>
      </c>
      <c r="C26" s="208">
        <v>731261.44336421171</v>
      </c>
      <c r="D26" s="208">
        <v>696645.77540490241</v>
      </c>
      <c r="E26" s="208">
        <v>654016.69402430137</v>
      </c>
      <c r="F26" s="209">
        <v>592006.38468757854</v>
      </c>
      <c r="G26" s="210"/>
    </row>
    <row r="27" spans="1:7">
      <c r="A27" s="207" t="s">
        <v>273</v>
      </c>
      <c r="B27" s="208">
        <v>815730.78800521209</v>
      </c>
      <c r="C27" s="208">
        <v>776523.66014703608</v>
      </c>
      <c r="D27" s="208">
        <v>749650.94334766443</v>
      </c>
      <c r="E27" s="208">
        <v>727744.39769127558</v>
      </c>
      <c r="F27" s="209">
        <v>700316.00862869038</v>
      </c>
      <c r="G27" s="210"/>
    </row>
    <row r="28" spans="1:7">
      <c r="A28" s="207" t="s">
        <v>272</v>
      </c>
      <c r="B28" s="208">
        <v>681987.64467741339</v>
      </c>
      <c r="C28" s="208">
        <v>706607.67010250106</v>
      </c>
      <c r="D28" s="208">
        <v>731261.44336421171</v>
      </c>
      <c r="E28" s="208">
        <v>755948.70635210862</v>
      </c>
      <c r="F28" s="209">
        <v>780669.20735383919</v>
      </c>
      <c r="G28" s="210"/>
    </row>
    <row r="29" spans="1:7">
      <c r="A29" s="207" t="s">
        <v>9</v>
      </c>
      <c r="B29" s="208">
        <v>825319.12422225648</v>
      </c>
      <c r="C29" s="208">
        <v>804414.02779901237</v>
      </c>
      <c r="D29" s="208">
        <v>783510.89505075559</v>
      </c>
      <c r="E29" s="208">
        <v>762609.69596022426</v>
      </c>
      <c r="F29" s="209">
        <v>741710.39491797576</v>
      </c>
      <c r="G29" s="210"/>
    </row>
    <row r="30" spans="1:7">
      <c r="A30" s="207" t="s">
        <v>10</v>
      </c>
      <c r="B30" s="208">
        <v>752038.04673735471</v>
      </c>
      <c r="C30" s="208">
        <v>738170.7033146515</v>
      </c>
      <c r="D30" s="208">
        <v>724367.78757099423</v>
      </c>
      <c r="E30" s="208">
        <v>710625.40524043969</v>
      </c>
      <c r="F30" s="209">
        <v>696939.98484459519</v>
      </c>
      <c r="G30" s="210"/>
    </row>
    <row r="31" spans="1:7">
      <c r="A31" s="207" t="s">
        <v>7</v>
      </c>
      <c r="B31" s="208">
        <v>768246.22104579816</v>
      </c>
      <c r="C31" s="208">
        <v>757675.68418435135</v>
      </c>
      <c r="D31" s="208">
        <v>747107.88237049209</v>
      </c>
      <c r="E31" s="208">
        <v>736542.87730860198</v>
      </c>
      <c r="F31" s="209">
        <v>725980.7326194772</v>
      </c>
      <c r="G31" s="210"/>
    </row>
    <row r="32" spans="1:7">
      <c r="A32" s="207" t="s">
        <v>276</v>
      </c>
      <c r="B32" s="208">
        <v>706912.9619053296</v>
      </c>
      <c r="C32" s="208">
        <v>713654.65487066971</v>
      </c>
      <c r="D32" s="208">
        <v>721018.83887138299</v>
      </c>
      <c r="E32" s="208">
        <v>729110.24442585476</v>
      </c>
      <c r="F32" s="209">
        <v>738060.58834920416</v>
      </c>
      <c r="G32" s="210"/>
    </row>
    <row r="33" spans="1:7">
      <c r="A33" s="207" t="s">
        <v>267</v>
      </c>
      <c r="B33" s="208">
        <v>734167.95576231473</v>
      </c>
      <c r="C33" s="208">
        <v>728669.95245774731</v>
      </c>
      <c r="D33" s="208">
        <v>722762.03635099484</v>
      </c>
      <c r="E33" s="208">
        <v>715308.52460682171</v>
      </c>
      <c r="F33" s="209">
        <v>704109.92912342947</v>
      </c>
      <c r="G33" s="210"/>
    </row>
    <row r="34" spans="1:7" ht="15.75" thickBot="1">
      <c r="A34" s="211" t="s">
        <v>6</v>
      </c>
      <c r="B34" s="212">
        <v>707042.20133440499</v>
      </c>
      <c r="C34" s="212">
        <v>726782.10185955395</v>
      </c>
      <c r="D34" s="212">
        <v>731261.44336421171</v>
      </c>
      <c r="E34" s="212">
        <v>727052.34198178595</v>
      </c>
      <c r="F34" s="213">
        <v>717466.33696809132</v>
      </c>
      <c r="G34" s="210"/>
    </row>
  </sheetData>
  <pageMargins left="0.7" right="0.7" top="0.75" bottom="0.75" header="0.3" footer="0.3"/>
  <pageSetup paperSize="9" orientation="portrait" horizontalDpi="4294967293" verticalDpi="0" r:id="rId1"/>
  <rowBreaks count="1" manualBreakCount="1">
    <brk id="22" max="16383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Hoja13"/>
  <dimension ref="A1:AM124"/>
  <sheetViews>
    <sheetView showGridLines="0" showRowColHeaders="0" workbookViewId="0"/>
  </sheetViews>
  <sheetFormatPr baseColWidth="10" defaultColWidth="9.140625" defaultRowHeight="12.75"/>
  <cols>
    <col min="1" max="1" width="2" style="223" customWidth="1"/>
    <col min="2" max="2" width="1.85546875" style="223" customWidth="1"/>
    <col min="3" max="3" width="12.140625" style="223" customWidth="1"/>
    <col min="4" max="4" width="12.28515625" style="223" customWidth="1"/>
    <col min="5" max="5" width="15.7109375" style="223" customWidth="1"/>
    <col min="6" max="6" width="1.7109375" style="227" customWidth="1"/>
    <col min="7" max="7" width="5.28515625" style="223" customWidth="1"/>
    <col min="8" max="8" width="15.7109375" style="223" customWidth="1"/>
    <col min="9" max="9" width="11.140625" style="223" customWidth="1"/>
    <col min="10" max="10" width="2.7109375" style="226" customWidth="1"/>
    <col min="11" max="11" width="80.7109375" style="223" customWidth="1"/>
    <col min="12" max="37" width="9.140625" style="223"/>
    <col min="38" max="38" width="9.7109375" style="223" bestFit="1" customWidth="1"/>
    <col min="39" max="16384" width="9.140625" style="223"/>
  </cols>
  <sheetData>
    <row r="1" spans="1:39">
      <c r="E1" s="224"/>
      <c r="F1" s="225" t="s">
        <v>919</v>
      </c>
    </row>
    <row r="2" spans="1:39">
      <c r="A2" s="223" t="s">
        <v>920</v>
      </c>
    </row>
    <row r="3" spans="1:39">
      <c r="F3" s="225" t="s">
        <v>921</v>
      </c>
    </row>
    <row r="4" spans="1:39">
      <c r="T4" s="223" t="s">
        <v>922</v>
      </c>
      <c r="U4" s="223" t="s">
        <v>923</v>
      </c>
      <c r="W4" s="223" t="s">
        <v>922</v>
      </c>
      <c r="X4" s="223" t="s">
        <v>923</v>
      </c>
      <c r="Z4" s="223" t="s">
        <v>922</v>
      </c>
      <c r="AA4" s="223" t="s">
        <v>923</v>
      </c>
      <c r="AC4" s="223" t="s">
        <v>922</v>
      </c>
      <c r="AD4" s="223" t="s">
        <v>923</v>
      </c>
      <c r="AF4" s="223" t="s">
        <v>922</v>
      </c>
      <c r="AG4" s="223" t="s">
        <v>923</v>
      </c>
      <c r="AI4" s="223" t="s">
        <v>922</v>
      </c>
      <c r="AJ4" s="223" t="s">
        <v>923</v>
      </c>
      <c r="AL4" s="223" t="s">
        <v>922</v>
      </c>
      <c r="AM4" s="223" t="s">
        <v>923</v>
      </c>
    </row>
    <row r="5" spans="1:39">
      <c r="T5" s="228">
        <v>0.55000000000000004</v>
      </c>
      <c r="U5" s="229">
        <v>1.7005067510114546E-4</v>
      </c>
      <c r="W5" s="230">
        <v>30</v>
      </c>
      <c r="X5" s="229">
        <v>7.6522803795530634E-5</v>
      </c>
      <c r="Z5" s="230">
        <v>60</v>
      </c>
      <c r="AA5" s="229">
        <v>1.0101010101009915E-2</v>
      </c>
      <c r="AC5" s="231">
        <v>80000</v>
      </c>
      <c r="AD5" s="229">
        <v>1.0101010101010326E-2</v>
      </c>
      <c r="AF5" s="228">
        <v>0.03</v>
      </c>
      <c r="AG5" s="229">
        <v>1.0101010101010166E-2</v>
      </c>
      <c r="AI5" s="232">
        <v>9.5000000000000001E-2</v>
      </c>
      <c r="AJ5" s="229">
        <v>2.5507601265177359E-4</v>
      </c>
      <c r="AL5" s="231">
        <v>381953.53876643733</v>
      </c>
      <c r="AM5" s="229">
        <v>2.2063926859061537E-4</v>
      </c>
    </row>
    <row r="6" spans="1:39">
      <c r="A6" s="233" t="s">
        <v>924</v>
      </c>
      <c r="U6" s="229">
        <v>6.8020270040465667E-4</v>
      </c>
      <c r="X6" s="229">
        <v>3.0609121518212253E-4</v>
      </c>
      <c r="AA6" s="229">
        <v>1.0101010101009915E-2</v>
      </c>
      <c r="AD6" s="229">
        <v>1.0101010101010326E-2</v>
      </c>
      <c r="AG6" s="229">
        <v>1.0101010101010166E-2</v>
      </c>
      <c r="AJ6" s="229">
        <v>1.0203040506070831E-3</v>
      </c>
      <c r="AM6" s="229">
        <v>2.5477344807415137E-4</v>
      </c>
    </row>
    <row r="7" spans="1:39">
      <c r="U7" s="229">
        <v>1.3604054008093131E-3</v>
      </c>
      <c r="X7" s="229">
        <v>6.1218243036424745E-4</v>
      </c>
      <c r="AA7" s="229">
        <v>1.0101010101009915E-2</v>
      </c>
      <c r="AD7" s="229">
        <v>1.0101010101010326E-2</v>
      </c>
      <c r="AG7" s="229">
        <v>1.0101010101010166E-2</v>
      </c>
      <c r="AJ7" s="229">
        <v>2.040608101214177E-3</v>
      </c>
      <c r="AM7" s="229">
        <v>3.0716585680194805E-4</v>
      </c>
    </row>
    <row r="8" spans="1:39">
      <c r="A8" s="233" t="s">
        <v>925</v>
      </c>
      <c r="B8" s="233"/>
      <c r="C8" s="233"/>
      <c r="D8" s="233"/>
      <c r="E8" s="233"/>
      <c r="F8" s="225"/>
      <c r="G8" s="233"/>
      <c r="H8" s="233"/>
      <c r="I8" s="233"/>
      <c r="J8" s="234" t="s">
        <v>926</v>
      </c>
      <c r="U8" s="229">
        <v>2.0406081012139701E-3</v>
      </c>
      <c r="X8" s="229">
        <v>9.1827364554636999E-4</v>
      </c>
      <c r="AA8" s="229">
        <v>1.0101010101009913E-2</v>
      </c>
      <c r="AD8" s="229">
        <v>1.0101010101010322E-2</v>
      </c>
      <c r="AG8" s="229">
        <v>1.0101010101010166E-2</v>
      </c>
      <c r="AJ8" s="229">
        <v>3.0609121518212598E-3</v>
      </c>
      <c r="AM8" s="229">
        <v>3.6889235620736959E-4</v>
      </c>
    </row>
    <row r="9" spans="1:39">
      <c r="U9" s="229">
        <v>2.7208108016186262E-3</v>
      </c>
      <c r="X9" s="229">
        <v>1.2243648607285034E-3</v>
      </c>
      <c r="AA9" s="229">
        <v>1.0101010101009916E-2</v>
      </c>
      <c r="AD9" s="229">
        <v>1.0101010101010319E-2</v>
      </c>
      <c r="AG9" s="229">
        <v>1.0101010101010166E-2</v>
      </c>
      <c r="AJ9" s="229">
        <v>4.0812162024283557E-3</v>
      </c>
      <c r="AM9" s="229">
        <v>4.4130039328376747E-4</v>
      </c>
    </row>
    <row r="10" spans="1:39">
      <c r="B10" s="223" t="s">
        <v>927</v>
      </c>
      <c r="U10" s="229">
        <v>3.4010135020232837E-3</v>
      </c>
      <c r="X10" s="229">
        <v>1.5304560759106171E-3</v>
      </c>
      <c r="AA10" s="229">
        <v>1.0101010101009916E-2</v>
      </c>
      <c r="AD10" s="229">
        <v>1.0101010101010326E-2</v>
      </c>
      <c r="AG10" s="229">
        <v>1.0101010101010166E-2</v>
      </c>
      <c r="AJ10" s="229">
        <v>5.1015202530354364E-3</v>
      </c>
      <c r="AM10" s="229">
        <v>5.258682061570776E-4</v>
      </c>
    </row>
    <row r="11" spans="1:39">
      <c r="C11" s="223" t="s">
        <v>912</v>
      </c>
      <c r="E11" s="235">
        <v>0.55000000000000004</v>
      </c>
      <c r="U11" s="229">
        <v>4.0812162024279394E-3</v>
      </c>
      <c r="X11" s="229">
        <v>1.8365472910927402E-3</v>
      </c>
      <c r="AA11" s="229">
        <v>1.0101010101009909E-2</v>
      </c>
      <c r="AD11" s="229">
        <v>1.0101010101010333E-2</v>
      </c>
      <c r="AG11" s="229">
        <v>1.0101010101010166E-2</v>
      </c>
      <c r="AJ11" s="229">
        <v>6.1218243036425327E-3</v>
      </c>
      <c r="AM11" s="229">
        <v>6.242053056279926E-4</v>
      </c>
    </row>
    <row r="12" spans="1:39">
      <c r="C12" s="223" t="s">
        <v>928</v>
      </c>
      <c r="E12" s="235">
        <v>0.57999999999999996</v>
      </c>
      <c r="U12" s="229">
        <v>4.7614189028325985E-3</v>
      </c>
      <c r="X12" s="229">
        <v>2.142638506274862E-3</v>
      </c>
      <c r="AA12" s="229">
        <v>1.0101010101009916E-2</v>
      </c>
      <c r="AD12" s="229">
        <v>1.0101010101010319E-2</v>
      </c>
      <c r="AG12" s="229">
        <v>1.0101010101010166E-2</v>
      </c>
      <c r="AJ12" s="229">
        <v>7.1421283542496133E-3</v>
      </c>
      <c r="AM12" s="229">
        <v>7.3805026238269074E-4</v>
      </c>
    </row>
    <row r="13" spans="1:39">
      <c r="C13" s="223" t="s">
        <v>913</v>
      </c>
      <c r="E13" s="235">
        <v>0.65</v>
      </c>
      <c r="U13" s="229">
        <v>5.4416216032372559E-3</v>
      </c>
      <c r="X13" s="229">
        <v>2.4487297214569863E-3</v>
      </c>
      <c r="AA13" s="229">
        <v>1.0101010101009916E-2</v>
      </c>
      <c r="AD13" s="229">
        <v>1.0101010101010333E-2</v>
      </c>
      <c r="AG13" s="229">
        <v>1.0101010101010166E-2</v>
      </c>
      <c r="AJ13" s="229">
        <v>8.162432404856701E-3</v>
      </c>
      <c r="AM13" s="229">
        <v>8.6926534093554123E-4</v>
      </c>
    </row>
    <row r="14" spans="1:39">
      <c r="E14" s="236"/>
      <c r="U14" s="229">
        <v>6.1218243036418353E-3</v>
      </c>
      <c r="X14" s="229">
        <v>2.7548209366391116E-3</v>
      </c>
      <c r="AA14" s="229">
        <v>1.0101010101009916E-2</v>
      </c>
      <c r="AD14" s="229">
        <v>1.0101010101010319E-2</v>
      </c>
      <c r="AG14" s="229">
        <v>1.0101010101010166E-2</v>
      </c>
      <c r="AJ14" s="229">
        <v>9.1827364554637886E-3</v>
      </c>
      <c r="AM14" s="229">
        <v>1.0198275281274984E-3</v>
      </c>
    </row>
    <row r="15" spans="1:39">
      <c r="E15" s="236"/>
      <c r="U15" s="229">
        <v>6.802027004046491E-3</v>
      </c>
      <c r="X15" s="229">
        <v>3.0609121518212351E-3</v>
      </c>
      <c r="AA15" s="229">
        <v>1.0101010101009916E-2</v>
      </c>
      <c r="AD15" s="229">
        <v>1.0101010101010333E-2</v>
      </c>
      <c r="AG15" s="229">
        <v>1.010101010101018E-2</v>
      </c>
      <c r="AJ15" s="229">
        <v>1.0203040506070876E-2</v>
      </c>
      <c r="AM15" s="229">
        <v>1.191815527311792E-3</v>
      </c>
    </row>
    <row r="16" spans="1:39">
      <c r="U16" s="229">
        <v>7.4822297044511502E-3</v>
      </c>
      <c r="X16" s="229">
        <v>3.3670033670033586E-3</v>
      </c>
      <c r="AA16" s="229">
        <v>1.0101010101009916E-2</v>
      </c>
      <c r="AD16" s="229">
        <v>1.0101010101010319E-2</v>
      </c>
      <c r="AG16" s="229">
        <v>1.0101010101010166E-2</v>
      </c>
      <c r="AJ16" s="229">
        <v>1.1223344556677964E-2</v>
      </c>
      <c r="AM16" s="229">
        <v>1.3873923313734828E-3</v>
      </c>
    </row>
    <row r="17" spans="1:39">
      <c r="U17" s="229">
        <v>8.1624324048558058E-3</v>
      </c>
      <c r="X17" s="229">
        <v>3.6730945821854787E-3</v>
      </c>
      <c r="AA17" s="229">
        <v>1.0101010101009902E-2</v>
      </c>
      <c r="AD17" s="229">
        <v>1.0101010101010333E-2</v>
      </c>
      <c r="AG17" s="229">
        <v>1.0101010101010152E-2</v>
      </c>
      <c r="AJ17" s="229">
        <v>1.2243648607285051E-2</v>
      </c>
      <c r="AM17" s="229">
        <v>1.6087830502197614E-3</v>
      </c>
    </row>
    <row r="18" spans="1:39">
      <c r="U18" s="229">
        <v>8.8426351052604615E-3</v>
      </c>
      <c r="X18" s="229">
        <v>3.9791857973676022E-3</v>
      </c>
      <c r="AA18" s="229">
        <v>1.0101010101010138E-2</v>
      </c>
      <c r="AD18" s="229">
        <v>1.0101010101010333E-2</v>
      </c>
      <c r="AG18" s="229">
        <v>1.0101010101010166E-2</v>
      </c>
      <c r="AJ18" s="229">
        <v>1.3263952657892139E-2</v>
      </c>
      <c r="AM18" s="229">
        <v>1.8582477525605906E-3</v>
      </c>
    </row>
    <row r="19" spans="1:39">
      <c r="U19" s="229">
        <v>9.5228378056651172E-3</v>
      </c>
      <c r="X19" s="229">
        <v>4.2852770125497326E-3</v>
      </c>
      <c r="AA19" s="229">
        <v>1.0101010101010388E-2</v>
      </c>
      <c r="AD19" s="229">
        <v>1.0101010101010305E-2</v>
      </c>
      <c r="AF19" s="228">
        <v>3.4242424242424241E-2</v>
      </c>
      <c r="AG19" s="229">
        <v>1.0101010101010166E-2</v>
      </c>
      <c r="AJ19" s="229">
        <v>1.4284256708499227E-2</v>
      </c>
      <c r="AM19" s="229">
        <v>2.1380491881937656E-3</v>
      </c>
    </row>
    <row r="20" spans="1:39">
      <c r="A20" s="233" t="s">
        <v>929</v>
      </c>
      <c r="B20" s="233"/>
      <c r="C20" s="233"/>
      <c r="D20" s="233"/>
      <c r="E20" s="233"/>
      <c r="F20" s="225"/>
      <c r="G20" s="233"/>
      <c r="H20" s="233"/>
      <c r="I20" s="233"/>
      <c r="J20" s="234" t="s">
        <v>930</v>
      </c>
      <c r="U20" s="229">
        <v>1.020304050606978E-2</v>
      </c>
      <c r="X20" s="229">
        <v>4.5913682277318527E-3</v>
      </c>
      <c r="AA20" s="229">
        <v>1.0101010101010388E-2</v>
      </c>
      <c r="AD20" s="229">
        <v>1.0101010101010333E-2</v>
      </c>
      <c r="AG20" s="229">
        <v>1.0101010101010166E-2</v>
      </c>
      <c r="AJ20" s="229">
        <v>1.5304560759106314E-2</v>
      </c>
      <c r="AM20" s="229">
        <v>2.4504153852924482E-3</v>
      </c>
    </row>
    <row r="21" spans="1:39">
      <c r="T21" s="228">
        <v>0.5661616161616162</v>
      </c>
      <c r="U21" s="229">
        <v>1.0883243206474436E-2</v>
      </c>
      <c r="X21" s="229">
        <v>4.8974594429139692E-3</v>
      </c>
      <c r="AA21" s="229">
        <v>1.0101010101010388E-2</v>
      </c>
      <c r="AD21" s="229">
        <v>1.0101010101010333E-2</v>
      </c>
      <c r="AG21" s="229">
        <v>1.0101010101010166E-2</v>
      </c>
      <c r="AJ21" s="229">
        <v>1.6324864809713402E-2</v>
      </c>
      <c r="AM21" s="229">
        <v>2.7974972660732809E-3</v>
      </c>
    </row>
    <row r="22" spans="1:39">
      <c r="B22" s="223" t="s">
        <v>927</v>
      </c>
      <c r="U22" s="229">
        <v>1.1563445906879091E-2</v>
      </c>
      <c r="X22" s="229">
        <v>5.2035506580960997E-3</v>
      </c>
      <c r="AA22" s="229">
        <v>1.0101010101010388E-2</v>
      </c>
      <c r="AD22" s="229">
        <v>1.0101010101010333E-2</v>
      </c>
      <c r="AG22" s="229">
        <v>1.0101010101010166E-2</v>
      </c>
      <c r="AJ22" s="229">
        <v>1.7345168860320476E-2</v>
      </c>
      <c r="AM22" s="229">
        <v>3.1813215913456296E-3</v>
      </c>
    </row>
    <row r="23" spans="1:39">
      <c r="C23" s="223" t="s">
        <v>912</v>
      </c>
      <c r="E23" s="237">
        <v>30</v>
      </c>
      <c r="U23" s="229">
        <v>1.2243648607283747E-2</v>
      </c>
      <c r="X23" s="229">
        <v>5.5096418732782232E-3</v>
      </c>
      <c r="AA23" s="229">
        <v>1.0101010101010388E-2</v>
      </c>
      <c r="AD23" s="229">
        <v>1.0101010101010305E-2</v>
      </c>
      <c r="AG23" s="229">
        <v>1.0101010101010166E-2</v>
      </c>
      <c r="AJ23" s="229">
        <v>1.8365472910927577E-2</v>
      </c>
      <c r="AM23" s="229">
        <v>3.6037397263289361E-3</v>
      </c>
    </row>
    <row r="24" spans="1:39">
      <c r="C24" s="223" t="s">
        <v>928</v>
      </c>
      <c r="E24" s="237">
        <v>60</v>
      </c>
      <c r="U24" s="229">
        <v>1.2923851307688403E-2</v>
      </c>
      <c r="X24" s="229">
        <v>5.8157330884603398E-3</v>
      </c>
      <c r="AA24" s="229">
        <v>1.0101010101010388E-2</v>
      </c>
      <c r="AD24" s="229">
        <v>1.0101010101010333E-2</v>
      </c>
      <c r="AG24" s="229">
        <v>1.0101010101010166E-2</v>
      </c>
      <c r="AJ24" s="229">
        <v>1.9385776961534679E-2</v>
      </c>
      <c r="AM24" s="229">
        <v>4.0663729121612723E-3</v>
      </c>
    </row>
    <row r="25" spans="1:39">
      <c r="C25" s="223" t="s">
        <v>913</v>
      </c>
      <c r="E25" s="237">
        <v>75</v>
      </c>
      <c r="U25" s="229">
        <v>1.3604054008093058E-2</v>
      </c>
      <c r="X25" s="229">
        <v>6.1218243036424771E-3</v>
      </c>
      <c r="AA25" s="229">
        <v>1.0101010101010388E-2</v>
      </c>
      <c r="AD25" s="229">
        <v>1.0101010101010333E-2</v>
      </c>
      <c r="AG25" s="229">
        <v>1.0101010101010166E-2</v>
      </c>
      <c r="AJ25" s="229">
        <v>2.0093612896643326E-2</v>
      </c>
      <c r="AM25" s="229">
        <v>4.5705549240027191E-3</v>
      </c>
    </row>
    <row r="26" spans="1:39">
      <c r="E26" s="236"/>
      <c r="U26" s="229">
        <v>1.42842567084977E-2</v>
      </c>
      <c r="X26" s="229">
        <v>6.4279155188245868E-3</v>
      </c>
      <c r="AA26" s="229">
        <v>1.0101010101010388E-2</v>
      </c>
      <c r="AD26" s="229">
        <v>1.0101010101010333E-2</v>
      </c>
      <c r="AG26" s="229">
        <v>1.0101010101010166E-2</v>
      </c>
      <c r="AJ26" s="229">
        <v>1.9895928986838202E-2</v>
      </c>
      <c r="AM26" s="229">
        <v>5.1172731908669042E-3</v>
      </c>
    </row>
    <row r="27" spans="1:39">
      <c r="E27" s="236"/>
      <c r="U27" s="229">
        <v>1.496445940890237E-2</v>
      </c>
      <c r="X27" s="229">
        <v>6.7340067340067172E-3</v>
      </c>
      <c r="AA27" s="229">
        <v>1.0101010101010388E-2</v>
      </c>
      <c r="AD27" s="229">
        <v>1.0101010101010305E-2</v>
      </c>
      <c r="AG27" s="229">
        <v>1.0101010101010166E-2</v>
      </c>
      <c r="AJ27" s="229">
        <v>1.9640852974186412E-2</v>
      </c>
      <c r="AM27" s="229">
        <v>5.7071096328006055E-3</v>
      </c>
    </row>
    <row r="28" spans="1:39">
      <c r="U28" s="229">
        <v>1.5644662109307012E-2</v>
      </c>
      <c r="X28" s="229">
        <v>7.0400979491888338E-3</v>
      </c>
      <c r="AA28" s="229">
        <v>1.0101010101010388E-2</v>
      </c>
      <c r="AD28" s="229">
        <v>1.0101010101010333E-2</v>
      </c>
      <c r="AG28" s="229">
        <v>1.0101010101010166E-2</v>
      </c>
      <c r="AJ28" s="229">
        <v>1.9385776961534706E-2</v>
      </c>
      <c r="AM28" s="229">
        <v>6.3401826694123101E-3</v>
      </c>
    </row>
    <row r="29" spans="1:39">
      <c r="U29" s="229">
        <v>1.6324864809711681E-2</v>
      </c>
      <c r="X29" s="229">
        <v>7.3461891643709643E-3</v>
      </c>
      <c r="AA29" s="229">
        <v>1.0101010101010388E-2</v>
      </c>
      <c r="AD29" s="229">
        <v>1.0101010101010333E-2</v>
      </c>
      <c r="AG29" s="229">
        <v>1.0101010101010166E-2</v>
      </c>
      <c r="AJ29" s="229">
        <v>1.913070094888264E-2</v>
      </c>
      <c r="AM29" s="229">
        <v>7.0160918827496324E-3</v>
      </c>
    </row>
    <row r="30" spans="1:39">
      <c r="U30" s="229">
        <v>1.7005067510116267E-2</v>
      </c>
      <c r="X30" s="229">
        <v>7.6522803795530808E-3</v>
      </c>
      <c r="AA30" s="229">
        <v>1.0101010101010388E-2</v>
      </c>
      <c r="AD30" s="229">
        <v>1.0101010101010305E-2</v>
      </c>
      <c r="AG30" s="229">
        <v>1.0101010101010166E-2</v>
      </c>
      <c r="AJ30" s="229">
        <v>1.8875624936230684E-2</v>
      </c>
      <c r="AM30" s="229">
        <v>7.7338671457388292E-3</v>
      </c>
    </row>
    <row r="31" spans="1:39">
      <c r="U31" s="229">
        <v>1.7685270210520937E-2</v>
      </c>
      <c r="X31" s="229">
        <v>7.9583715947352113E-3</v>
      </c>
      <c r="AA31" s="229">
        <v>1.0101010101010388E-2</v>
      </c>
      <c r="AD31" s="229">
        <v>1.0101010101010333E-2</v>
      </c>
      <c r="AG31" s="229">
        <v>1.0101010101010166E-2</v>
      </c>
      <c r="AJ31" s="229">
        <v>1.862054892357895E-2</v>
      </c>
      <c r="AM31" s="229">
        <v>8.491923812192978E-3</v>
      </c>
    </row>
    <row r="32" spans="1:39">
      <c r="A32" s="233" t="s">
        <v>931</v>
      </c>
      <c r="B32" s="233"/>
      <c r="C32" s="233"/>
      <c r="D32" s="233"/>
      <c r="E32" s="233"/>
      <c r="F32" s="225"/>
      <c r="G32" s="233"/>
      <c r="H32" s="233"/>
      <c r="I32" s="233"/>
      <c r="J32" s="234" t="s">
        <v>932</v>
      </c>
      <c r="U32" s="229">
        <v>1.8365472910925579E-2</v>
      </c>
      <c r="X32" s="229">
        <v>8.2644628099173278E-3</v>
      </c>
      <c r="AA32" s="229">
        <v>1.0101010101010388E-2</v>
      </c>
      <c r="AD32" s="229">
        <v>1.0101010101010333E-2</v>
      </c>
      <c r="AG32" s="229">
        <v>1.0101010101010166E-2</v>
      </c>
      <c r="AJ32" s="229">
        <v>1.8365472910927216E-2</v>
      </c>
      <c r="AM32" s="229">
        <v>9.2880258002360078E-3</v>
      </c>
    </row>
    <row r="33" spans="1:39">
      <c r="U33" s="229">
        <v>1.9045675611330248E-2</v>
      </c>
      <c r="X33" s="229">
        <v>8.5705540250994583E-3</v>
      </c>
      <c r="AA33" s="229">
        <v>1.0101010101010388E-2</v>
      </c>
      <c r="AD33" s="229">
        <v>1.0101010101010277E-2</v>
      </c>
      <c r="AF33" s="228">
        <v>3.8484848484848483E-2</v>
      </c>
      <c r="AG33" s="229">
        <v>1.0101010101010166E-2</v>
      </c>
      <c r="AJ33" s="229">
        <v>1.8110396898275372E-2</v>
      </c>
      <c r="AM33" s="229">
        <v>1.0119258247393986E-2</v>
      </c>
    </row>
    <row r="34" spans="1:39">
      <c r="B34" s="223" t="s">
        <v>933</v>
      </c>
      <c r="U34" s="229">
        <v>1.9725878311734946E-2</v>
      </c>
      <c r="X34" s="229">
        <v>8.8766452402815749E-3</v>
      </c>
      <c r="AA34" s="229">
        <v>1.0101010101010388E-2</v>
      </c>
      <c r="AD34" s="229">
        <v>1.0101010101010333E-2</v>
      </c>
      <c r="AG34" s="229">
        <v>1.0101010101010166E-2</v>
      </c>
      <c r="AJ34" s="229">
        <v>1.7855320885623582E-2</v>
      </c>
      <c r="AM34" s="229">
        <v>1.0982011345170878E-2</v>
      </c>
    </row>
    <row r="35" spans="1:39">
      <c r="C35" s="223" t="s">
        <v>912</v>
      </c>
      <c r="E35" s="237">
        <v>60</v>
      </c>
      <c r="U35" s="229">
        <v>2.0095131206240235E-2</v>
      </c>
      <c r="X35" s="229">
        <v>9.1827364554636914E-3</v>
      </c>
      <c r="AA35" s="229">
        <v>1.0101010101010388E-2</v>
      </c>
      <c r="AD35" s="229">
        <v>1.0101010101010333E-2</v>
      </c>
      <c r="AG35" s="229">
        <v>1.0101010101010166E-2</v>
      </c>
      <c r="AJ35" s="229">
        <v>1.7600244872971904E-2</v>
      </c>
      <c r="AM35" s="229">
        <v>1.1871976792692529E-2</v>
      </c>
    </row>
    <row r="36" spans="1:39">
      <c r="C36" s="223" t="s">
        <v>913</v>
      </c>
      <c r="E36" s="237">
        <v>90</v>
      </c>
      <c r="U36" s="229">
        <v>1.9823050126078379E-2</v>
      </c>
      <c r="X36" s="229">
        <v>9.4888276706458219E-3</v>
      </c>
      <c r="AA36" s="229">
        <v>1.0101010101010388E-2</v>
      </c>
      <c r="AD36" s="229">
        <v>1.0101010101010333E-2</v>
      </c>
      <c r="AG36" s="229">
        <v>1.0101010101010166E-2</v>
      </c>
      <c r="AJ36" s="229">
        <v>1.7345168860320115E-2</v>
      </c>
      <c r="AM36" s="229">
        <v>1.2784158082643701E-2</v>
      </c>
    </row>
    <row r="37" spans="1:39">
      <c r="E37" s="236"/>
      <c r="T37" s="228">
        <v>0.58232323232323235</v>
      </c>
      <c r="U37" s="229">
        <v>1.9531534683047802E-2</v>
      </c>
      <c r="X37" s="229">
        <v>9.7949188858279523E-3</v>
      </c>
      <c r="AA37" s="229">
        <v>1.0101010101010388E-2</v>
      </c>
      <c r="AD37" s="229">
        <v>1.0101010101010277E-2</v>
      </c>
      <c r="AG37" s="229">
        <v>1.0101010101010166E-2</v>
      </c>
      <c r="AJ37" s="229">
        <v>1.7090092847668381E-2</v>
      </c>
      <c r="AM37" s="229">
        <v>1.3712895546951681E-2</v>
      </c>
    </row>
    <row r="38" spans="1:39">
      <c r="E38" s="236"/>
      <c r="U38" s="229">
        <v>1.9240019240017225E-2</v>
      </c>
      <c r="X38" s="229">
        <v>1.0101010101010055E-2</v>
      </c>
      <c r="AA38" s="229">
        <v>1.0101010101010388E-2</v>
      </c>
      <c r="AD38" s="229">
        <v>1.0101010101010333E-2</v>
      </c>
      <c r="AG38" s="229">
        <v>1.0101010101010166E-2</v>
      </c>
      <c r="AI38" s="232">
        <v>0.13666666666666666</v>
      </c>
      <c r="AJ38" s="229">
        <v>1.6835016835016536E-2</v>
      </c>
      <c r="AM38" s="229">
        <v>1.465190674960512E-2</v>
      </c>
    </row>
    <row r="39" spans="1:39">
      <c r="U39" s="229">
        <v>1.8948503796986649E-2</v>
      </c>
      <c r="X39" s="229">
        <v>1.0407101316192213E-2</v>
      </c>
      <c r="AA39" s="229">
        <v>1.0101010101010388E-2</v>
      </c>
      <c r="AD39" s="229">
        <v>1.0101010101010333E-2</v>
      </c>
      <c r="AG39" s="229">
        <v>1.0101010101010166E-2</v>
      </c>
      <c r="AJ39" s="229">
        <v>1.6579940822364803E-2</v>
      </c>
      <c r="AM39" s="229">
        <v>1.5594342427545621E-2</v>
      </c>
    </row>
    <row r="40" spans="1:39">
      <c r="U40" s="229">
        <v>1.8656988353956128E-2</v>
      </c>
      <c r="X40" s="229">
        <v>1.0713192531374316E-2</v>
      </c>
      <c r="AA40" s="229">
        <v>1.0101010101010388E-2</v>
      </c>
      <c r="AD40" s="229">
        <v>1.0101010101010277E-2</v>
      </c>
      <c r="AG40" s="229">
        <v>1.0101010101010166E-2</v>
      </c>
      <c r="AJ40" s="229">
        <v>1.6324864809713013E-2</v>
      </c>
      <c r="AM40" s="229">
        <v>1.6532857758017272E-2</v>
      </c>
    </row>
    <row r="41" spans="1:39">
      <c r="U41" s="229">
        <v>1.8365472910925495E-2</v>
      </c>
      <c r="X41" s="229">
        <v>1.1019283746556419E-2</v>
      </c>
      <c r="AA41" s="229">
        <v>1.0101010101010388E-2</v>
      </c>
      <c r="AD41" s="229">
        <v>1.0101010101010333E-2</v>
      </c>
      <c r="AG41" s="229">
        <v>1.0101010101010166E-2</v>
      </c>
      <c r="AJ41" s="229">
        <v>1.6069788797061335E-2</v>
      </c>
      <c r="AM41" s="229">
        <v>1.7459698284720993E-2</v>
      </c>
    </row>
    <row r="42" spans="1:39">
      <c r="U42" s="229">
        <v>1.8073957467894974E-2</v>
      </c>
      <c r="X42" s="229">
        <v>1.1325374961738549E-2</v>
      </c>
      <c r="AA42" s="229">
        <v>1.0101010101010388E-2</v>
      </c>
      <c r="AD42" s="229">
        <v>1.0101010101010333E-2</v>
      </c>
      <c r="AG42" s="229">
        <v>1.0101010101010166E-2</v>
      </c>
      <c r="AJ42" s="229">
        <v>1.581471278440949E-2</v>
      </c>
      <c r="AM42" s="229">
        <v>1.8366799380016147E-2</v>
      </c>
    </row>
    <row r="43" spans="1:39">
      <c r="U43" s="229">
        <v>1.7782442024864398E-2</v>
      </c>
      <c r="X43" s="229">
        <v>1.1631466176920707E-2</v>
      </c>
      <c r="AA43" s="229">
        <v>1.0101010101010388E-2</v>
      </c>
      <c r="AD43" s="229">
        <v>1.0101010101010333E-2</v>
      </c>
      <c r="AG43" s="229">
        <v>1.0101010101010166E-2</v>
      </c>
      <c r="AJ43" s="229">
        <v>1.5559636771757757E-2</v>
      </c>
      <c r="AM43" s="229">
        <v>1.924589767200624E-2</v>
      </c>
    </row>
    <row r="44" spans="1:39">
      <c r="A44" s="233" t="s">
        <v>934</v>
      </c>
      <c r="B44" s="233"/>
      <c r="C44" s="233"/>
      <c r="D44" s="233"/>
      <c r="E44" s="233"/>
      <c r="F44" s="225"/>
      <c r="G44" s="233"/>
      <c r="H44" s="233"/>
      <c r="I44" s="233"/>
      <c r="J44" s="234" t="s">
        <v>935</v>
      </c>
      <c r="U44" s="229">
        <v>1.7490926581833821E-2</v>
      </c>
      <c r="X44" s="229">
        <v>1.193755739210281E-2</v>
      </c>
      <c r="AA44" s="229">
        <v>1.0101010101010388E-2</v>
      </c>
      <c r="AD44" s="229">
        <v>1.0101010101010333E-2</v>
      </c>
      <c r="AG44" s="229">
        <v>1.0101010101010166E-2</v>
      </c>
      <c r="AJ44" s="229">
        <v>1.5304560759105912E-2</v>
      </c>
      <c r="AM44" s="229">
        <v>2.008865244019567E-2</v>
      </c>
    </row>
    <row r="45" spans="1:39">
      <c r="U45" s="229">
        <v>1.7199411138803244E-2</v>
      </c>
      <c r="X45" s="229">
        <v>1.2243648607284913E-2</v>
      </c>
      <c r="AA45" s="229">
        <v>1.0101010101010388E-2</v>
      </c>
      <c r="AD45" s="229">
        <v>1.0101010101010333E-2</v>
      </c>
      <c r="AG45" s="229">
        <v>1.0101010101010166E-2</v>
      </c>
      <c r="AJ45" s="229">
        <v>1.5049484746454289E-2</v>
      </c>
      <c r="AM45" s="229">
        <v>2.0886774598059987E-2</v>
      </c>
    </row>
    <row r="46" spans="1:39">
      <c r="B46" s="223" t="s">
        <v>933</v>
      </c>
      <c r="U46" s="229">
        <v>1.6907895695772779E-2</v>
      </c>
      <c r="X46" s="229">
        <v>1.2549739822467099E-2</v>
      </c>
      <c r="AA46" s="229">
        <v>1.0101010101010388E-2</v>
      </c>
      <c r="AD46" s="229">
        <v>1.0101010101010333E-2</v>
      </c>
      <c r="AG46" s="229">
        <v>1.0101010101010166E-2</v>
      </c>
      <c r="AJ46" s="229">
        <v>1.4794408733802444E-2</v>
      </c>
      <c r="AM46" s="229">
        <v>2.163216055129713E-2</v>
      </c>
    </row>
    <row r="47" spans="1:39">
      <c r="C47" s="223" t="s">
        <v>912</v>
      </c>
      <c r="E47" s="238">
        <v>80000</v>
      </c>
      <c r="U47" s="229">
        <v>1.6616380252742147E-2</v>
      </c>
      <c r="X47" s="229">
        <v>1.2855831037649201E-2</v>
      </c>
      <c r="AA47" s="229">
        <v>1.0101010101010388E-2</v>
      </c>
      <c r="AD47" s="229">
        <v>1.0101010101010333E-2</v>
      </c>
      <c r="AF47" s="228">
        <v>4.2727272727272725E-2</v>
      </c>
      <c r="AG47" s="229">
        <v>1.0101010101010166E-2</v>
      </c>
      <c r="AJ47" s="229">
        <v>1.4539332721150711E-2</v>
      </c>
      <c r="AM47" s="229">
        <v>2.2317027961239466E-2</v>
      </c>
    </row>
    <row r="48" spans="1:39">
      <c r="C48" s="223" t="s">
        <v>913</v>
      </c>
      <c r="E48" s="238">
        <v>105000</v>
      </c>
      <c r="U48" s="229">
        <v>1.6324864809711626E-2</v>
      </c>
      <c r="X48" s="229">
        <v>1.3161922252831304E-2</v>
      </c>
      <c r="AA48" s="229">
        <v>1.0101010101010388E-2</v>
      </c>
      <c r="AD48" s="229">
        <v>1.0101010101010333E-2</v>
      </c>
      <c r="AG48" s="229">
        <v>1.0101010101010166E-2</v>
      </c>
      <c r="AJ48" s="229">
        <v>1.4284256708498866E-2</v>
      </c>
      <c r="AM48" s="229">
        <v>2.2934050266382788E-2</v>
      </c>
    </row>
    <row r="49" spans="1:39">
      <c r="E49" s="236"/>
      <c r="U49" s="229">
        <v>1.6033349366680993E-2</v>
      </c>
      <c r="X49" s="229">
        <v>1.3468013468013407E-2</v>
      </c>
      <c r="AA49" s="229">
        <v>1.0101010101010388E-2</v>
      </c>
      <c r="AD49" s="229">
        <v>1.0101010101010277E-2</v>
      </c>
      <c r="AG49" s="229">
        <v>1.0101010101010166E-2</v>
      </c>
      <c r="AJ49" s="229">
        <v>1.4029180695847132E-2</v>
      </c>
      <c r="AM49" s="229">
        <v>2.3476486730927115E-2</v>
      </c>
    </row>
    <row r="50" spans="1:39">
      <c r="E50" s="236"/>
      <c r="U50" s="229">
        <v>1.5741833923650472E-2</v>
      </c>
      <c r="X50" s="229">
        <v>1.3774104683195565E-2</v>
      </c>
      <c r="AA50" s="229">
        <v>1.0101010101010388E-2</v>
      </c>
      <c r="AD50" s="229">
        <v>1.0101010101010333E-2</v>
      </c>
      <c r="AG50" s="229">
        <v>1.0101010101010166E-2</v>
      </c>
      <c r="AJ50" s="229">
        <v>1.3774104683195398E-2</v>
      </c>
      <c r="AM50" s="229">
        <v>2.3938304804112409E-2</v>
      </c>
    </row>
    <row r="51" spans="1:39">
      <c r="U51" s="229">
        <v>1.5450318480619951E-2</v>
      </c>
      <c r="X51" s="229">
        <v>1.4080195898377668E-2</v>
      </c>
      <c r="AA51" s="229">
        <v>1.0101010101010388E-2</v>
      </c>
      <c r="AD51" s="229">
        <v>1.0101010101010333E-2</v>
      </c>
      <c r="AG51" s="229">
        <v>1.0101010101010166E-2</v>
      </c>
      <c r="AJ51" s="229">
        <v>1.3519028670543554E-2</v>
      </c>
      <c r="AM51" s="229">
        <v>2.4314291690740009E-2</v>
      </c>
    </row>
    <row r="52" spans="1:39">
      <c r="U52" s="229">
        <v>1.5158803037589319E-2</v>
      </c>
      <c r="X52" s="229">
        <v>1.4386287113559826E-2</v>
      </c>
      <c r="AA52" s="229">
        <v>1.0101010101010388E-2</v>
      </c>
      <c r="AD52" s="229">
        <v>1.0101010101010277E-2</v>
      </c>
      <c r="AG52" s="229">
        <v>1.0101010101010166E-2</v>
      </c>
      <c r="AJ52" s="229">
        <v>1.326395265789182E-2</v>
      </c>
      <c r="AM52" s="229">
        <v>2.460015225050155E-2</v>
      </c>
    </row>
    <row r="53" spans="1:39">
      <c r="T53" s="228">
        <v>0.59848484848484851</v>
      </c>
      <c r="U53" s="229">
        <v>1.4867287594558798E-2</v>
      </c>
      <c r="X53" s="229">
        <v>1.4692378328741929E-2</v>
      </c>
      <c r="AA53" s="229">
        <v>1.0101010101010388E-2</v>
      </c>
      <c r="AD53" s="229">
        <v>1.0101010101010333E-2</v>
      </c>
      <c r="AG53" s="229">
        <v>1.0101010101010166E-2</v>
      </c>
      <c r="AJ53" s="229">
        <v>1.3008876645240086E-2</v>
      </c>
      <c r="AM53" s="229">
        <v>2.4792590656483926E-2</v>
      </c>
    </row>
    <row r="54" spans="1:39">
      <c r="U54" s="229">
        <v>1.4575772151528166E-2</v>
      </c>
      <c r="X54" s="229">
        <v>1.4998469543924031E-2</v>
      </c>
      <c r="AA54" s="229">
        <v>1.0101010101010388E-2</v>
      </c>
      <c r="AD54" s="229">
        <v>1.0101010101010277E-2</v>
      </c>
      <c r="AG54" s="229">
        <v>1.0101010101010166E-2</v>
      </c>
      <c r="AJ54" s="229">
        <v>1.2753800632588241E-2</v>
      </c>
      <c r="AM54" s="229">
        <v>2.488937364253313E-2</v>
      </c>
    </row>
    <row r="55" spans="1:39">
      <c r="U55" s="229">
        <v>1.4284256708497645E-2</v>
      </c>
      <c r="W55" s="230">
        <v>52.727272727272727</v>
      </c>
      <c r="X55" s="229">
        <v>1.5304560759106189E-2</v>
      </c>
      <c r="Z55" s="230">
        <v>75.151515151515156</v>
      </c>
      <c r="AA55" s="229">
        <v>1.0101010101010388E-2</v>
      </c>
      <c r="AD55" s="229">
        <v>1.0101010101010388E-2</v>
      </c>
      <c r="AG55" s="229">
        <v>1.0101010101010166E-2</v>
      </c>
      <c r="AJ55" s="229">
        <v>1.2498724619936508E-2</v>
      </c>
      <c r="AM55" s="229">
        <v>2.4889373642533186E-2</v>
      </c>
    </row>
    <row r="56" spans="1:39">
      <c r="A56" s="233" t="s">
        <v>936</v>
      </c>
      <c r="B56" s="233"/>
      <c r="C56" s="233"/>
      <c r="D56" s="233"/>
      <c r="E56" s="233"/>
      <c r="F56" s="225"/>
      <c r="G56" s="233"/>
      <c r="H56" s="233"/>
      <c r="I56" s="233"/>
      <c r="J56" s="234" t="s">
        <v>937</v>
      </c>
      <c r="U56" s="229">
        <v>1.3992741265467123E-2</v>
      </c>
      <c r="X56" s="229">
        <v>1.5610651974288292E-2</v>
      </c>
      <c r="AA56" s="229">
        <v>1.0101010101010388E-2</v>
      </c>
      <c r="AD56" s="229">
        <v>1.0101010101010277E-2</v>
      </c>
      <c r="AG56" s="229">
        <v>1.0101010101010166E-2</v>
      </c>
      <c r="AJ56" s="229">
        <v>1.2243648607284774E-2</v>
      </c>
      <c r="AM56" s="229">
        <v>2.4792590656483871E-2</v>
      </c>
    </row>
    <row r="57" spans="1:39">
      <c r="U57" s="229">
        <v>1.3701225822436491E-2</v>
      </c>
      <c r="X57" s="229">
        <v>1.5916743189470395E-2</v>
      </c>
      <c r="AA57" s="229">
        <v>1.0101010101010388E-2</v>
      </c>
      <c r="AD57" s="229">
        <v>1.0101010101010277E-2</v>
      </c>
      <c r="AG57" s="229">
        <v>1.0101010101010166E-2</v>
      </c>
      <c r="AJ57" s="229">
        <v>1.198857259463304E-2</v>
      </c>
      <c r="AM57" s="229">
        <v>2.4600152250501495E-2</v>
      </c>
    </row>
    <row r="58" spans="1:39">
      <c r="B58" s="223" t="s">
        <v>933</v>
      </c>
      <c r="U58" s="229">
        <v>1.340971037940597E-2</v>
      </c>
      <c r="X58" s="229">
        <v>1.6222834404652497E-2</v>
      </c>
      <c r="AA58" s="229">
        <v>1.0101010101010388E-2</v>
      </c>
      <c r="AD58" s="229">
        <v>1.0101010101010388E-2</v>
      </c>
      <c r="AG58" s="229">
        <v>1.0101010101010166E-2</v>
      </c>
      <c r="AJ58" s="229">
        <v>1.1733496581981195E-2</v>
      </c>
      <c r="AM58" s="229">
        <v>2.4314291690740286E-2</v>
      </c>
    </row>
    <row r="59" spans="1:39">
      <c r="C59" s="223" t="s">
        <v>912</v>
      </c>
      <c r="E59" s="235">
        <v>0.03</v>
      </c>
      <c r="U59" s="229">
        <v>1.3118194936375338E-2</v>
      </c>
      <c r="X59" s="229">
        <v>1.6528925619834656E-2</v>
      </c>
      <c r="AA59" s="229">
        <v>1.0101010101010388E-2</v>
      </c>
      <c r="AD59" s="229">
        <v>1.0101010101010277E-2</v>
      </c>
      <c r="AG59" s="229">
        <v>1.0101010101010166E-2</v>
      </c>
      <c r="AJ59" s="229">
        <v>1.1478420569329462E-2</v>
      </c>
      <c r="AM59" s="229">
        <v>2.3938304804112853E-2</v>
      </c>
    </row>
    <row r="60" spans="1:39">
      <c r="C60" s="223" t="s">
        <v>913</v>
      </c>
      <c r="E60" s="235">
        <v>0.06</v>
      </c>
      <c r="U60" s="229">
        <v>1.2826679493344817E-2</v>
      </c>
      <c r="X60" s="229">
        <v>1.6835016835016814E-2</v>
      </c>
      <c r="AA60" s="229">
        <v>1.0101010101010388E-2</v>
      </c>
      <c r="AD60" s="229">
        <v>1.0101010101010277E-2</v>
      </c>
      <c r="AG60" s="229">
        <v>1.0101010101010166E-2</v>
      </c>
      <c r="AJ60" s="229">
        <v>1.1223344556677728E-2</v>
      </c>
      <c r="AM60" s="229">
        <v>2.3476486730927615E-2</v>
      </c>
    </row>
    <row r="61" spans="1:39">
      <c r="E61" s="236"/>
      <c r="U61" s="229">
        <v>1.2535164050314185E-2</v>
      </c>
      <c r="X61" s="229">
        <v>1.7141108050198917E-2</v>
      </c>
      <c r="AA61" s="229">
        <v>1.0101010101010388E-2</v>
      </c>
      <c r="AD61" s="229">
        <v>1.0101010101010388E-2</v>
      </c>
      <c r="AF61" s="228">
        <v>4.6969696969696967E-2</v>
      </c>
      <c r="AG61" s="229">
        <v>1.0101010101010166E-2</v>
      </c>
      <c r="AJ61" s="229">
        <v>1.0968268544025994E-2</v>
      </c>
      <c r="AM61" s="229">
        <v>2.2934050266383288E-2</v>
      </c>
    </row>
    <row r="62" spans="1:39">
      <c r="E62" s="236"/>
      <c r="U62" s="229">
        <v>1.2243648607283775E-2</v>
      </c>
      <c r="X62" s="229">
        <v>1.7447199265381019E-2</v>
      </c>
      <c r="AA62" s="229">
        <v>1.0101010101010388E-2</v>
      </c>
      <c r="AD62" s="229">
        <v>1.0101010101010277E-2</v>
      </c>
      <c r="AG62" s="229">
        <v>1.0101010101010166E-2</v>
      </c>
      <c r="AJ62" s="229">
        <v>1.0713192531374149E-2</v>
      </c>
      <c r="AM62" s="229">
        <v>2.231702796123991E-2</v>
      </c>
    </row>
    <row r="63" spans="1:39">
      <c r="U63" s="229">
        <v>1.1952133164253143E-2</v>
      </c>
      <c r="X63" s="229">
        <v>1.7753290480563177E-2</v>
      </c>
      <c r="AA63" s="229">
        <v>1.0101010101010388E-2</v>
      </c>
      <c r="AD63" s="229">
        <v>1.0101010101010388E-2</v>
      </c>
      <c r="AG63" s="229">
        <v>1.0101010101010166E-2</v>
      </c>
      <c r="AJ63" s="229">
        <v>1.0458116518722416E-2</v>
      </c>
      <c r="AM63" s="229">
        <v>2.1632160551297464E-2</v>
      </c>
    </row>
    <row r="64" spans="1:39">
      <c r="U64" s="229">
        <v>1.1660617721222621E-2</v>
      </c>
      <c r="X64" s="229">
        <v>1.805938169574528E-2</v>
      </c>
      <c r="AA64" s="229">
        <v>1.0101010101010388E-2</v>
      </c>
      <c r="AD64" s="229">
        <v>1.0101010101010388E-2</v>
      </c>
      <c r="AG64" s="229">
        <v>1.0101010101010166E-2</v>
      </c>
      <c r="AJ64" s="229">
        <v>1.0203040506070571E-2</v>
      </c>
      <c r="AM64" s="229">
        <v>2.0886774598060431E-2</v>
      </c>
    </row>
    <row r="65" spans="1:39">
      <c r="U65" s="229">
        <v>1.13691022781921E-2</v>
      </c>
      <c r="X65" s="229">
        <v>1.8365472910927494E-2</v>
      </c>
      <c r="AA65" s="229">
        <v>1.0101010101010388E-2</v>
      </c>
      <c r="AD65" s="229">
        <v>1.0101010101010277E-2</v>
      </c>
      <c r="AG65" s="229">
        <v>1.0101010101010166E-2</v>
      </c>
      <c r="AJ65" s="229">
        <v>9.9479644934189482E-3</v>
      </c>
      <c r="AM65" s="229">
        <v>2.0088652440195975E-2</v>
      </c>
    </row>
    <row r="66" spans="1:39">
      <c r="U66" s="229">
        <v>1.1077586835161357E-2</v>
      </c>
      <c r="X66" s="229">
        <v>1.8671564126109486E-2</v>
      </c>
      <c r="AA66" s="229">
        <v>1.0101010101010388E-2</v>
      </c>
      <c r="AD66" s="229">
        <v>1.0101010101010388E-2</v>
      </c>
      <c r="AG66" s="229">
        <v>1.0101010101010166E-2</v>
      </c>
      <c r="AJ66" s="229">
        <v>9.6928884807671034E-3</v>
      </c>
      <c r="AM66" s="229">
        <v>1.9245897672006573E-2</v>
      </c>
    </row>
    <row r="67" spans="1:39">
      <c r="U67" s="229">
        <v>1.0786071392130947E-2</v>
      </c>
      <c r="X67" s="229">
        <v>1.8977655341291699E-2</v>
      </c>
      <c r="AA67" s="229">
        <v>1.0101010101010388E-2</v>
      </c>
      <c r="AD67" s="229">
        <v>1.0101010101010388E-2</v>
      </c>
      <c r="AG67" s="229">
        <v>1.0101010101010166E-2</v>
      </c>
      <c r="AJ67" s="229">
        <v>9.4378124681152586E-3</v>
      </c>
      <c r="AM67" s="229">
        <v>1.8366799380016507E-2</v>
      </c>
    </row>
    <row r="68" spans="1:39">
      <c r="A68" s="233" t="s">
        <v>938</v>
      </c>
      <c r="B68" s="233"/>
      <c r="C68" s="233"/>
      <c r="D68" s="233"/>
      <c r="E68" s="233"/>
      <c r="F68" s="225"/>
      <c r="G68" s="233"/>
      <c r="H68" s="233"/>
      <c r="I68" s="233"/>
      <c r="J68" s="234" t="s">
        <v>939</v>
      </c>
      <c r="U68" s="229">
        <v>1.0494555949100315E-2</v>
      </c>
      <c r="X68" s="229">
        <v>1.9283746556473691E-2</v>
      </c>
      <c r="AA68" s="229">
        <v>1.0101010101010388E-2</v>
      </c>
      <c r="AD68" s="229">
        <v>1.0101010101010277E-2</v>
      </c>
      <c r="AG68" s="229">
        <v>1.0101010101010166E-2</v>
      </c>
      <c r="AJ68" s="229">
        <v>9.1827364554636359E-3</v>
      </c>
      <c r="AM68" s="229">
        <v>1.7459698284721381E-2</v>
      </c>
    </row>
    <row r="69" spans="1:39">
      <c r="T69" s="228">
        <v>0.61464646464646466</v>
      </c>
      <c r="U69" s="229">
        <v>1.0203040506069794E-2</v>
      </c>
      <c r="X69" s="229">
        <v>1.9589837771655905E-2</v>
      </c>
      <c r="AA69" s="229">
        <v>1.0101010101010388E-2</v>
      </c>
      <c r="AD69" s="229">
        <v>1.0101010101010277E-2</v>
      </c>
      <c r="AG69" s="229">
        <v>1.0101010101010166E-2</v>
      </c>
      <c r="AJ69" s="229">
        <v>8.9276604428117912E-3</v>
      </c>
      <c r="AM69" s="229">
        <v>1.6532857758017494E-2</v>
      </c>
    </row>
    <row r="70" spans="1:39">
      <c r="B70" s="223" t="s">
        <v>927</v>
      </c>
      <c r="U70" s="229">
        <v>9.9115250630391616E-3</v>
      </c>
      <c r="X70" s="229">
        <v>1.9895928986838007E-2</v>
      </c>
      <c r="AA70" s="229">
        <v>1.0101010101010388E-2</v>
      </c>
      <c r="AD70" s="229">
        <v>1.0101010101010388E-2</v>
      </c>
      <c r="AG70" s="229">
        <v>1.0101010101010166E-2</v>
      </c>
      <c r="AJ70" s="229">
        <v>8.6725844301600574E-3</v>
      </c>
      <c r="AM70" s="229">
        <v>1.5594342427545871E-2</v>
      </c>
    </row>
    <row r="71" spans="1:39">
      <c r="C71" s="223" t="s">
        <v>912</v>
      </c>
      <c r="E71" s="239">
        <v>9.5000000000000001E-2</v>
      </c>
      <c r="U71" s="229">
        <v>9.6200096200086405E-3</v>
      </c>
      <c r="X71" s="229">
        <v>2.0087235996326891E-2</v>
      </c>
      <c r="AA71" s="229">
        <v>1.0101010101010388E-2</v>
      </c>
      <c r="AD71" s="229">
        <v>1.0101010101010277E-2</v>
      </c>
      <c r="AG71" s="229">
        <v>1.0101010101010166E-2</v>
      </c>
      <c r="AI71" s="232">
        <v>0.17833333333333334</v>
      </c>
      <c r="AJ71" s="229">
        <v>8.4175084175083237E-3</v>
      </c>
      <c r="AM71" s="229">
        <v>1.4651906749605481E-2</v>
      </c>
    </row>
    <row r="72" spans="1:39">
      <c r="C72" s="223" t="s">
        <v>928</v>
      </c>
      <c r="E72" s="239">
        <v>0.12</v>
      </c>
      <c r="U72" s="229">
        <v>9.3284941769780083E-3</v>
      </c>
      <c r="X72" s="229">
        <v>1.9589837771655905E-2</v>
      </c>
      <c r="AA72" s="229">
        <v>1.0101010101010388E-2</v>
      </c>
      <c r="AD72" s="229">
        <v>1.0101010101010277E-2</v>
      </c>
      <c r="AG72" s="229">
        <v>1.0101010101010166E-2</v>
      </c>
      <c r="AJ72" s="229">
        <v>8.1624324048564789E-3</v>
      </c>
      <c r="AM72" s="229">
        <v>1.3712895546951986E-2</v>
      </c>
    </row>
    <row r="73" spans="1:39">
      <c r="C73" s="223" t="s">
        <v>913</v>
      </c>
      <c r="E73" s="239">
        <v>0.22</v>
      </c>
      <c r="U73" s="229">
        <v>9.0369787339474872E-3</v>
      </c>
      <c r="X73" s="229">
        <v>1.8977655341291588E-2</v>
      </c>
      <c r="AA73" s="229">
        <v>1.0101010101010388E-2</v>
      </c>
      <c r="AD73" s="229">
        <v>1.0101010101010388E-2</v>
      </c>
      <c r="AG73" s="229">
        <v>1.0101010101010166E-2</v>
      </c>
      <c r="AJ73" s="229">
        <v>7.9073563922047452E-3</v>
      </c>
      <c r="AM73" s="229">
        <v>1.2784158082643882E-2</v>
      </c>
    </row>
    <row r="74" spans="1:39">
      <c r="E74" s="236"/>
      <c r="U74" s="229">
        <v>8.7454632909169661E-3</v>
      </c>
      <c r="X74" s="229">
        <v>1.8365472910927383E-2</v>
      </c>
      <c r="AA74" s="229">
        <v>1.0101010101010388E-2</v>
      </c>
      <c r="AD74" s="229">
        <v>1.0101010101010277E-2</v>
      </c>
      <c r="AG74" s="229">
        <v>1.0101010101010166E-2</v>
      </c>
      <c r="AJ74" s="229">
        <v>7.6522803795529004E-3</v>
      </c>
      <c r="AM74" s="229">
        <v>1.1871976792692696E-2</v>
      </c>
    </row>
    <row r="75" spans="1:39">
      <c r="E75" s="236"/>
      <c r="U75" s="229">
        <v>8.4539478478863339E-3</v>
      </c>
      <c r="X75" s="229">
        <v>1.7753290480563177E-2</v>
      </c>
      <c r="AA75" s="229">
        <v>1.0101010101010388E-2</v>
      </c>
      <c r="AD75" s="229">
        <v>1.0101010101010388E-2</v>
      </c>
      <c r="AF75" s="228">
        <v>5.1212121212121209E-2</v>
      </c>
      <c r="AG75" s="229">
        <v>1.0101010101010166E-2</v>
      </c>
      <c r="AJ75" s="229">
        <v>7.3972043669011667E-3</v>
      </c>
      <c r="AM75" s="229">
        <v>1.0982011345171072E-2</v>
      </c>
    </row>
    <row r="76" spans="1:39">
      <c r="U76" s="229">
        <v>8.1624324048557018E-3</v>
      </c>
      <c r="X76" s="229">
        <v>1.7141108050198861E-2</v>
      </c>
      <c r="AA76" s="229">
        <v>1.0101010101010388E-2</v>
      </c>
      <c r="AD76" s="229">
        <v>1.0101010101010277E-2</v>
      </c>
      <c r="AG76" s="229">
        <v>1.0101010101010166E-2</v>
      </c>
      <c r="AJ76" s="229">
        <v>7.142128354249544E-3</v>
      </c>
      <c r="AM76" s="229">
        <v>1.0119258247394014E-2</v>
      </c>
    </row>
    <row r="77" spans="1:39">
      <c r="U77" s="229">
        <v>7.8709169618252917E-3</v>
      </c>
      <c r="X77" s="229">
        <v>1.6528925619834656E-2</v>
      </c>
      <c r="AA77" s="229">
        <v>1.0101010101010388E-2</v>
      </c>
      <c r="AD77" s="229">
        <v>1.0101010101010277E-2</v>
      </c>
      <c r="AG77" s="229">
        <v>1.0101010101010166E-2</v>
      </c>
      <c r="AJ77" s="229">
        <v>6.8870523415976992E-3</v>
      </c>
      <c r="AM77" s="229">
        <v>9.2880258002362437E-3</v>
      </c>
    </row>
    <row r="78" spans="1:39">
      <c r="U78" s="229">
        <v>7.5794015187946595E-3</v>
      </c>
      <c r="X78" s="229">
        <v>1.591674318947045E-2</v>
      </c>
      <c r="AA78" s="229">
        <v>1.0101010101010388E-2</v>
      </c>
      <c r="AD78" s="229">
        <v>1.0101010101010388E-2</v>
      </c>
      <c r="AG78" s="229">
        <v>1.0101010101010166E-2</v>
      </c>
      <c r="AJ78" s="229">
        <v>6.6319763289459654E-3</v>
      </c>
      <c r="AM78" s="229">
        <v>8.4919238121931029E-3</v>
      </c>
    </row>
    <row r="79" spans="1:39">
      <c r="U79" s="229">
        <v>7.2878860757640274E-3</v>
      </c>
      <c r="X79" s="229">
        <v>1.5304560759106134E-2</v>
      </c>
      <c r="AA79" s="229">
        <v>1.0101010101010388E-2</v>
      </c>
      <c r="AD79" s="229">
        <v>1.0101010101010277E-2</v>
      </c>
      <c r="AG79" s="229">
        <v>1.0101010101010166E-2</v>
      </c>
      <c r="AJ79" s="229">
        <v>6.3769003162941207E-3</v>
      </c>
      <c r="AM79" s="229">
        <v>7.7338671457390928E-3</v>
      </c>
    </row>
    <row r="80" spans="1:39">
      <c r="A80" s="233" t="s">
        <v>940</v>
      </c>
      <c r="B80" s="233"/>
      <c r="C80" s="233"/>
      <c r="D80" s="233"/>
      <c r="E80" s="233"/>
      <c r="F80" s="225"/>
      <c r="G80" s="233"/>
      <c r="H80" s="233"/>
      <c r="I80" s="233"/>
      <c r="J80" s="234" t="s">
        <v>941</v>
      </c>
      <c r="U80" s="229">
        <v>6.9963706327336173E-3</v>
      </c>
      <c r="X80" s="229">
        <v>1.469237832874204E-2</v>
      </c>
      <c r="AA80" s="229">
        <v>1.0101010101010388E-2</v>
      </c>
      <c r="AD80" s="229">
        <v>1.0101010101010277E-2</v>
      </c>
      <c r="AG80" s="229">
        <v>1.0101010101010166E-2</v>
      </c>
      <c r="AJ80" s="229">
        <v>6.1218243036423869E-3</v>
      </c>
      <c r="AM80" s="229">
        <v>7.0160918827496532E-3</v>
      </c>
    </row>
    <row r="81" spans="1:39">
      <c r="U81" s="229">
        <v>6.7048551897029851E-3</v>
      </c>
      <c r="X81" s="229">
        <v>1.4080195898378167E-2</v>
      </c>
      <c r="AA81" s="229">
        <v>1.0101010101010388E-2</v>
      </c>
      <c r="AD81" s="229">
        <v>1.0101010101010388E-2</v>
      </c>
      <c r="AG81" s="229">
        <v>1.0101010101010166E-2</v>
      </c>
      <c r="AJ81" s="229">
        <v>5.8667482909905422E-3</v>
      </c>
      <c r="AM81" s="229">
        <v>6.3401826694126084E-3</v>
      </c>
    </row>
    <row r="82" spans="1:39">
      <c r="B82" s="223" t="s">
        <v>942</v>
      </c>
      <c r="U82" s="229">
        <v>6.413339746672464E-3</v>
      </c>
      <c r="X82" s="229">
        <v>1.3468013468013851E-2</v>
      </c>
      <c r="AA82" s="229">
        <v>1.0101010101010388E-2</v>
      </c>
      <c r="AD82" s="229">
        <v>1.0101010101010388E-2</v>
      </c>
      <c r="AG82" s="229">
        <v>1.0101010101010166E-2</v>
      </c>
      <c r="AJ82" s="229">
        <v>5.6116722783388084E-3</v>
      </c>
      <c r="AM82" s="229">
        <v>5.7071096328005222E-3</v>
      </c>
    </row>
    <row r="83" spans="1:39">
      <c r="C83" s="223" t="s">
        <v>943</v>
      </c>
      <c r="E83" s="238">
        <v>1000000</v>
      </c>
      <c r="U83" s="229">
        <v>6.1218243036418318E-3</v>
      </c>
      <c r="X83" s="229">
        <v>1.2855831037649645E-2</v>
      </c>
      <c r="AA83" s="229">
        <v>1.0101010101010388E-2</v>
      </c>
      <c r="AD83" s="229">
        <v>1.0101010101010277E-2</v>
      </c>
      <c r="AG83" s="229">
        <v>1.0101010101010166E-2</v>
      </c>
      <c r="AJ83" s="229">
        <v>5.3565962656870747E-3</v>
      </c>
      <c r="AM83" s="229">
        <v>5.1172731908670777E-3</v>
      </c>
    </row>
    <row r="84" spans="1:39">
      <c r="C84" s="223" t="s">
        <v>944</v>
      </c>
      <c r="E84" s="238">
        <v>200000</v>
      </c>
      <c r="U84" s="229">
        <v>5.8303088606113107E-3</v>
      </c>
      <c r="X84" s="229">
        <v>1.2243648607285329E-2</v>
      </c>
      <c r="AA84" s="229">
        <v>1.0101010101010388E-2</v>
      </c>
      <c r="AD84" s="229">
        <v>1.0101010101010388E-2</v>
      </c>
      <c r="AG84" s="229">
        <v>1.0101010101010166E-2</v>
      </c>
      <c r="AJ84" s="229">
        <v>5.101520253035341E-3</v>
      </c>
      <c r="AM84" s="229">
        <v>4.5705549240027121E-3</v>
      </c>
    </row>
    <row r="85" spans="1:39">
      <c r="E85" s="236"/>
      <c r="T85" s="228">
        <v>0.63080808080808082</v>
      </c>
      <c r="U85" s="229">
        <v>5.5387934175807896E-3</v>
      </c>
      <c r="X85" s="229">
        <v>1.1631466176921013E-2</v>
      </c>
      <c r="AA85" s="229">
        <v>1.0101010101010388E-2</v>
      </c>
      <c r="AD85" s="229">
        <v>1.0101010101010388E-2</v>
      </c>
      <c r="AG85" s="229">
        <v>1.0101010101010166E-2</v>
      </c>
      <c r="AJ85" s="229">
        <v>4.8464442403834962E-3</v>
      </c>
      <c r="AM85" s="229">
        <v>4.0663729121613867E-3</v>
      </c>
    </row>
    <row r="86" spans="1:39">
      <c r="E86" s="236"/>
      <c r="U86" s="229">
        <v>5.2472779745501574E-3</v>
      </c>
      <c r="X86" s="229">
        <v>1.1019283746556807E-2</v>
      </c>
      <c r="AA86" s="229">
        <v>1.0101010101010388E-2</v>
      </c>
      <c r="AD86" s="229">
        <v>1.0101010101010277E-2</v>
      </c>
      <c r="AG86" s="229">
        <v>1.0101010101010166E-2</v>
      </c>
      <c r="AJ86" s="229">
        <v>4.5913682277318735E-3</v>
      </c>
      <c r="AM86" s="229">
        <v>3.6037397263289916E-3</v>
      </c>
    </row>
    <row r="87" spans="1:39">
      <c r="U87" s="229">
        <v>4.9557625315196363E-3</v>
      </c>
      <c r="X87" s="229">
        <v>1.0407101316192491E-2</v>
      </c>
      <c r="AA87" s="229">
        <v>1.0101010101010388E-2</v>
      </c>
      <c r="AD87" s="229">
        <v>1.0101010101010388E-2</v>
      </c>
      <c r="AG87" s="229">
        <v>1.0101010101010166E-2</v>
      </c>
      <c r="AJ87" s="229">
        <v>4.3362922150800287E-3</v>
      </c>
      <c r="AM87" s="229">
        <v>3.1813215913456538E-3</v>
      </c>
    </row>
    <row r="88" spans="1:39">
      <c r="U88" s="229">
        <v>4.6642470884890042E-3</v>
      </c>
      <c r="X88" s="229">
        <v>9.7949188858282854E-3</v>
      </c>
      <c r="AA88" s="229">
        <v>1.0101010101010388E-2</v>
      </c>
      <c r="AD88" s="229">
        <v>1.0101010101010277E-2</v>
      </c>
      <c r="AG88" s="229">
        <v>1.0101010101010166E-2</v>
      </c>
      <c r="AJ88" s="229">
        <v>4.081216202428295E-3</v>
      </c>
      <c r="AM88" s="229">
        <v>2.7974972660732567E-3</v>
      </c>
    </row>
    <row r="89" spans="1:39">
      <c r="U89" s="229">
        <v>4.372731645458483E-3</v>
      </c>
      <c r="X89" s="229">
        <v>9.182736455463969E-3</v>
      </c>
      <c r="AA89" s="229">
        <v>1.0101010101010388E-2</v>
      </c>
      <c r="AD89" s="229">
        <v>1.0101010101010277E-2</v>
      </c>
      <c r="AF89" s="228">
        <v>5.5454545454545451E-2</v>
      </c>
      <c r="AG89" s="229">
        <v>1.0101010101010166E-2</v>
      </c>
      <c r="AJ89" s="229">
        <v>3.8261401897764502E-3</v>
      </c>
      <c r="AM89" s="229">
        <v>2.4504153852924482E-3</v>
      </c>
    </row>
    <row r="90" spans="1:39">
      <c r="U90" s="229">
        <v>4.0812162024279619E-3</v>
      </c>
      <c r="X90" s="229">
        <v>8.5705540250997636E-3</v>
      </c>
      <c r="AA90" s="229">
        <v>1.0101010101010388E-2</v>
      </c>
      <c r="AD90" s="229">
        <v>1.0101010101010388E-2</v>
      </c>
      <c r="AG90" s="229">
        <v>1.0101010101010166E-2</v>
      </c>
      <c r="AJ90" s="229">
        <v>3.5710641771247165E-3</v>
      </c>
      <c r="AM90" s="229">
        <v>2.1380491881938246E-3</v>
      </c>
    </row>
    <row r="91" spans="1:39">
      <c r="U91" s="229">
        <v>3.7897007593973298E-3</v>
      </c>
      <c r="X91" s="229">
        <v>7.9583715947354472E-3</v>
      </c>
      <c r="AA91" s="229">
        <v>1.0101010101010388E-2</v>
      </c>
      <c r="AD91" s="229">
        <v>1.0101010101010277E-2</v>
      </c>
      <c r="AG91" s="229">
        <v>1.0101010101010166E-2</v>
      </c>
      <c r="AJ91" s="229">
        <v>3.3159881644729827E-3</v>
      </c>
      <c r="AM91" s="229">
        <v>1.8582477525607155E-3</v>
      </c>
    </row>
    <row r="92" spans="1:39">
      <c r="A92" s="223" t="s">
        <v>945</v>
      </c>
      <c r="U92" s="229">
        <v>3.4981853163668086E-3</v>
      </c>
      <c r="X92" s="229">
        <v>7.3461891643712418E-3</v>
      </c>
      <c r="AA92" s="229">
        <v>1.0101010101010388E-2</v>
      </c>
      <c r="AD92" s="229">
        <v>1.0101010101010277E-2</v>
      </c>
      <c r="AG92" s="229">
        <v>1.0101010101010166E-2</v>
      </c>
      <c r="AJ92" s="229">
        <v>3.060912151821249E-3</v>
      </c>
      <c r="AM92" s="229">
        <v>1.6087830502198308E-3</v>
      </c>
    </row>
    <row r="93" spans="1:39">
      <c r="F93" s="225" t="s">
        <v>946</v>
      </c>
      <c r="U93" s="229">
        <v>3.2066698733361765E-3</v>
      </c>
      <c r="X93" s="229">
        <v>6.7340067340069254E-3</v>
      </c>
      <c r="AA93" s="229">
        <v>1.0101010101010388E-2</v>
      </c>
      <c r="AD93" s="229">
        <v>1.0101010101010388E-2</v>
      </c>
      <c r="AG93" s="229">
        <v>1.0101010101010166E-2</v>
      </c>
      <c r="AJ93" s="229">
        <v>2.8058361391694042E-3</v>
      </c>
      <c r="AM93" s="229">
        <v>1.387392331373416E-3</v>
      </c>
    </row>
    <row r="94" spans="1:39">
      <c r="U94" s="229">
        <v>2.9151544303056554E-3</v>
      </c>
      <c r="X94" s="229">
        <v>6.121824303642609E-3</v>
      </c>
      <c r="AA94" s="229">
        <v>1.0101010101010388E-2</v>
      </c>
      <c r="AD94" s="229">
        <v>1.0101010101010277E-2</v>
      </c>
      <c r="AG94" s="229">
        <v>1.0101010101010166E-2</v>
      </c>
      <c r="AJ94" s="229">
        <v>2.5507601265176705E-3</v>
      </c>
      <c r="AM94" s="229">
        <v>1.1918155273118458E-3</v>
      </c>
    </row>
    <row r="95" spans="1:39">
      <c r="U95" s="229">
        <v>2.6236389872750232E-3</v>
      </c>
      <c r="X95" s="229">
        <v>5.5096418732784036E-3</v>
      </c>
      <c r="AA95" s="229">
        <v>1.0101010101010388E-2</v>
      </c>
      <c r="AD95" s="229">
        <v>1.0101010101010277E-2</v>
      </c>
      <c r="AG95" s="229">
        <v>1.0101010101010277E-2</v>
      </c>
      <c r="AJ95" s="229">
        <v>2.2956841138659367E-3</v>
      </c>
      <c r="AM95" s="229">
        <v>1.0198275281274594E-3</v>
      </c>
    </row>
    <row r="96" spans="1:39">
      <c r="A96" s="233" t="s">
        <v>924</v>
      </c>
      <c r="U96" s="229">
        <v>2.3321235442445021E-3</v>
      </c>
      <c r="X96" s="229">
        <v>4.8974594429141982E-3</v>
      </c>
      <c r="AA96" s="229">
        <v>1.0101010101010388E-2</v>
      </c>
      <c r="AD96" s="229">
        <v>1.0101010101010388E-2</v>
      </c>
      <c r="AG96" s="229">
        <v>1.0101010101010166E-2</v>
      </c>
      <c r="AJ96" s="229">
        <v>2.040608101214203E-3</v>
      </c>
      <c r="AM96" s="229">
        <v>8.6926534093556551E-4</v>
      </c>
    </row>
    <row r="97" spans="1:39">
      <c r="U97" s="229">
        <v>2.040608101213981E-3</v>
      </c>
      <c r="X97" s="229">
        <v>4.2852770125498818E-3</v>
      </c>
      <c r="AA97" s="229">
        <v>1.0101010101010388E-2</v>
      </c>
      <c r="AD97" s="229">
        <v>1.0101010101010277E-2</v>
      </c>
      <c r="AG97" s="229">
        <v>1.0101010101010166E-2</v>
      </c>
      <c r="AJ97" s="229">
        <v>1.7855320885623582E-3</v>
      </c>
      <c r="AM97" s="229">
        <v>7.3805026238271676E-4</v>
      </c>
    </row>
    <row r="98" spans="1:39">
      <c r="A98" s="233" t="s">
        <v>947</v>
      </c>
      <c r="B98" s="233"/>
      <c r="C98" s="233"/>
      <c r="D98" s="233"/>
      <c r="E98" s="233"/>
      <c r="F98" s="225"/>
      <c r="G98" s="233"/>
      <c r="H98" s="233"/>
      <c r="I98" s="233"/>
      <c r="J98" s="234" t="s">
        <v>948</v>
      </c>
      <c r="U98" s="229">
        <v>1.7490926581833488E-3</v>
      </c>
      <c r="X98" s="229">
        <v>3.6730945821855654E-3</v>
      </c>
      <c r="AA98" s="229">
        <v>1.0101010101010388E-2</v>
      </c>
      <c r="AD98" s="229">
        <v>1.0101010101010277E-2</v>
      </c>
      <c r="AG98" s="229">
        <v>1.0101010101010166E-2</v>
      </c>
      <c r="AJ98" s="229">
        <v>1.5304560759106245E-3</v>
      </c>
      <c r="AM98" s="229">
        <v>6.2420530562801169E-4</v>
      </c>
    </row>
    <row r="99" spans="1:39">
      <c r="U99" s="229">
        <v>1.4575772151528277E-3</v>
      </c>
      <c r="X99" s="229">
        <v>3.06091215182136E-3</v>
      </c>
      <c r="AA99" s="229">
        <v>1.0101010101010388E-2</v>
      </c>
      <c r="AD99" s="229">
        <v>1.0101010101010388E-2</v>
      </c>
      <c r="AG99" s="229">
        <v>1.0101010101010166E-2</v>
      </c>
      <c r="AJ99" s="229">
        <v>1.2753800632587797E-3</v>
      </c>
      <c r="AM99" s="229">
        <v>5.2586820615718732E-4</v>
      </c>
    </row>
    <row r="100" spans="1:39">
      <c r="B100" s="223" t="s">
        <v>949</v>
      </c>
      <c r="U100" s="229">
        <v>1.1660617721223066E-3</v>
      </c>
      <c r="X100" s="229">
        <v>2.4487297214570436E-3</v>
      </c>
      <c r="AA100" s="229">
        <v>1.0101010101010388E-2</v>
      </c>
      <c r="AD100" s="229">
        <v>1.0101010101010277E-2</v>
      </c>
      <c r="AG100" s="229">
        <v>1.0101010101010166E-2</v>
      </c>
      <c r="AJ100" s="229">
        <v>1.020304050607046E-3</v>
      </c>
      <c r="AM100" s="229">
        <v>4.4130039328371673E-4</v>
      </c>
    </row>
    <row r="101" spans="1:39">
      <c r="C101" s="223" t="s">
        <v>950</v>
      </c>
      <c r="E101" s="240">
        <v>200000</v>
      </c>
      <c r="U101" s="229">
        <v>8.745463290916744E-4</v>
      </c>
      <c r="X101" s="229">
        <v>1.8365472910927272E-3</v>
      </c>
      <c r="AA101" s="229">
        <v>1.0101010101010388E-2</v>
      </c>
      <c r="AD101" s="229">
        <v>1.0101010101010277E-2</v>
      </c>
      <c r="AG101" s="229">
        <v>1.0101010101010166E-2</v>
      </c>
      <c r="AJ101" s="229">
        <v>7.6522803795531225E-4</v>
      </c>
      <c r="AM101" s="229">
        <v>3.6889235620740646E-4</v>
      </c>
    </row>
    <row r="102" spans="1:39">
      <c r="C102" s="223" t="s">
        <v>951</v>
      </c>
      <c r="E102" s="240">
        <v>300000</v>
      </c>
      <c r="U102" s="229">
        <v>5.8303088606115328E-4</v>
      </c>
      <c r="X102" s="229">
        <v>1.2243648607285218E-3</v>
      </c>
      <c r="AA102" s="229">
        <v>1.0101010101010388E-2</v>
      </c>
      <c r="AD102" s="229">
        <v>1.0101010101010388E-2</v>
      </c>
      <c r="AG102" s="229">
        <v>1.0101010101010166E-2</v>
      </c>
      <c r="AJ102" s="229">
        <v>5.1015202530346748E-4</v>
      </c>
      <c r="AM102" s="229">
        <v>3.0716585680190533E-4</v>
      </c>
    </row>
    <row r="103" spans="1:39">
      <c r="U103" s="229">
        <v>2.9151544303063215E-4</v>
      </c>
      <c r="X103" s="229">
        <v>6.1218243036420539E-4</v>
      </c>
      <c r="AA103" s="229">
        <v>1.0101010101010388E-2</v>
      </c>
      <c r="AD103" s="229">
        <v>1.0101010101010277E-2</v>
      </c>
      <c r="AG103" s="229">
        <v>1.0101010101010166E-2</v>
      </c>
      <c r="AJ103" s="229">
        <v>2.5507601265184476E-4</v>
      </c>
      <c r="AM103" s="229">
        <v>2.5477344807411928E-4</v>
      </c>
    </row>
    <row r="104" spans="1:39">
      <c r="B104" s="223" t="s">
        <v>952</v>
      </c>
      <c r="T104" s="228">
        <v>0.65</v>
      </c>
      <c r="U104" s="229">
        <v>7.287886075757477E-5</v>
      </c>
      <c r="W104" s="230">
        <v>75</v>
      </c>
      <c r="X104" s="229">
        <v>1.5304560759110686E-4</v>
      </c>
      <c r="Z104" s="230">
        <v>90</v>
      </c>
      <c r="AA104" s="229">
        <v>1.0101010101010388E-2</v>
      </c>
      <c r="AC104" s="231">
        <v>105000</v>
      </c>
      <c r="AD104" s="229">
        <v>1.0101010101010166E-2</v>
      </c>
      <c r="AF104" s="228">
        <v>0.06</v>
      </c>
      <c r="AG104" s="229">
        <v>1.0101010101010166E-2</v>
      </c>
      <c r="AI104" s="232">
        <v>0.22</v>
      </c>
      <c r="AJ104" s="229">
        <v>6.3769003162850169E-5</v>
      </c>
      <c r="AL104" s="231">
        <v>1618046.4612335628</v>
      </c>
      <c r="AM104" s="229">
        <v>2.2063926859061667E-4</v>
      </c>
    </row>
    <row r="105" spans="1:39">
      <c r="C105" s="223" t="s">
        <v>953</v>
      </c>
      <c r="E105" s="240">
        <v>20000</v>
      </c>
    </row>
    <row r="107" spans="1:39">
      <c r="A107" s="233" t="s">
        <v>954</v>
      </c>
      <c r="B107" s="233"/>
      <c r="C107" s="233"/>
      <c r="D107" s="233"/>
      <c r="E107" s="233"/>
      <c r="F107" s="225"/>
      <c r="G107" s="233"/>
      <c r="H107" s="233"/>
      <c r="I107" s="233"/>
      <c r="J107" s="234" t="s">
        <v>955</v>
      </c>
    </row>
    <row r="109" spans="1:39">
      <c r="B109" s="223" t="s">
        <v>949</v>
      </c>
    </row>
    <row r="110" spans="1:39">
      <c r="C110" s="223" t="s">
        <v>950</v>
      </c>
      <c r="E110" s="228">
        <v>0</v>
      </c>
    </row>
    <row r="111" spans="1:39">
      <c r="C111" s="223" t="s">
        <v>951</v>
      </c>
      <c r="E111" s="228">
        <v>0.4</v>
      </c>
    </row>
    <row r="113" spans="1:10">
      <c r="B113" s="223" t="s">
        <v>956</v>
      </c>
    </row>
    <row r="115" spans="1:10">
      <c r="A115" s="233" t="s">
        <v>957</v>
      </c>
      <c r="B115" s="233"/>
      <c r="C115" s="233"/>
      <c r="D115" s="233"/>
      <c r="E115" s="233"/>
      <c r="F115" s="225"/>
      <c r="G115" s="233"/>
      <c r="H115" s="233"/>
      <c r="I115" s="233"/>
      <c r="J115" s="234" t="s">
        <v>958</v>
      </c>
    </row>
    <row r="117" spans="1:10">
      <c r="B117" s="223" t="s">
        <v>949</v>
      </c>
    </row>
    <row r="118" spans="1:10">
      <c r="C118" s="223" t="s">
        <v>950</v>
      </c>
      <c r="E118" s="241">
        <v>4</v>
      </c>
    </row>
    <row r="119" spans="1:10">
      <c r="C119" s="223" t="s">
        <v>951</v>
      </c>
      <c r="E119" s="241">
        <v>8</v>
      </c>
    </row>
    <row r="121" spans="1:10">
      <c r="B121" s="223" t="s">
        <v>952</v>
      </c>
    </row>
    <row r="122" spans="1:10">
      <c r="C122" s="223" t="s">
        <v>953</v>
      </c>
      <c r="E122" s="241">
        <v>1</v>
      </c>
    </row>
    <row r="124" spans="1:10">
      <c r="A124" s="223" t="s">
        <v>959</v>
      </c>
    </row>
  </sheetData>
  <printOptions gridLinesSet="0"/>
  <pageMargins left="0.75" right="0.75" top="1" bottom="1" header="0.5" footer="0.5"/>
  <pageSetup orientation="portrait" r:id="rId1"/>
  <headerFooter alignWithMargins="0">
    <oddHeader>&amp;F</oddHeader>
    <oddFooter>Page &amp;P</oddFooter>
  </headerFooter>
  <rowBreaks count="4" manualBreakCount="4">
    <brk id="2" max="16383" man="1"/>
    <brk id="42" max="16383" man="1"/>
    <brk id="92" max="16383" man="1"/>
    <brk id="124" max="16383" man="1"/>
  </rowBreaks>
  <colBreaks count="1" manualBreakCount="1">
    <brk id="1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30</vt:i4>
      </vt:variant>
    </vt:vector>
  </HeadingPairs>
  <TitlesOfParts>
    <vt:vector size="44" baseType="lpstr">
      <vt:lpstr>Sheet Index</vt:lpstr>
      <vt:lpstr>Conceptos</vt:lpstr>
      <vt:lpstr>Pasos</vt:lpstr>
      <vt:lpstr>CB_DATA_</vt:lpstr>
      <vt:lpstr>Modelo</vt:lpstr>
      <vt:lpstr>Resumen de escenario</vt:lpstr>
      <vt:lpstr>Cto Crédito</vt:lpstr>
      <vt:lpstr>Cto Proveedores</vt:lpstr>
      <vt:lpstr>Cto Patrimonio</vt:lpstr>
      <vt:lpstr>Emergentes</vt:lpstr>
      <vt:lpstr>NODERFELASE</vt:lpstr>
      <vt:lpstr>Tornado</vt:lpstr>
      <vt:lpstr>Spider</vt:lpstr>
      <vt:lpstr>Report</vt:lpstr>
      <vt:lpstr>Report!Área_de_impresión</vt:lpstr>
      <vt:lpstr>betasemergantes</vt:lpstr>
      <vt:lpstr>Caja_Año_1</vt:lpstr>
      <vt:lpstr>CAPEX</vt:lpstr>
      <vt:lpstr>coefz</vt:lpstr>
      <vt:lpstr>Cto_Vtas</vt:lpstr>
      <vt:lpstr>días</vt:lpstr>
      <vt:lpstr>DPC</vt:lpstr>
      <vt:lpstr>DPP</vt:lpstr>
      <vt:lpstr>Gradiente</vt:lpstr>
      <vt:lpstr>Gtos_admón</vt:lpstr>
      <vt:lpstr>Gtos_Vtas</vt:lpstr>
      <vt:lpstr>Lista</vt:lpstr>
      <vt:lpstr>matrizke</vt:lpstr>
      <vt:lpstr>matrizz</vt:lpstr>
      <vt:lpstr>matrizzscore</vt:lpstr>
      <vt:lpstr>meta</vt:lpstr>
      <vt:lpstr>pAY_oUT</vt:lpstr>
      <vt:lpstr>Rot_Inventarios</vt:lpstr>
      <vt:lpstr>Tas_Interés</vt:lpstr>
      <vt:lpstr>tax</vt:lpstr>
      <vt:lpstr>TIR</vt:lpstr>
      <vt:lpstr>TIRLP</vt:lpstr>
      <vt:lpstr>Util_Bruta</vt:lpstr>
      <vt:lpstr>Util_Neta</vt:lpstr>
      <vt:lpstr>Util_Oper</vt:lpstr>
      <vt:lpstr>Ventas</vt:lpstr>
      <vt:lpstr>Vlr_Patr_FdeCL</vt:lpstr>
      <vt:lpstr>Vlr_Patrim_MVA</vt:lpstr>
      <vt:lpstr>z_score_Año_1</vt:lpstr>
    </vt:vector>
  </TitlesOfParts>
  <Company>CESA-INCOLDA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Modelo de Simulación</dc:title>
  <dc:subject>DIPLOMADO TESORERÍA</dc:subject>
  <dc:creator>Werner Zitzman</dc:creator>
  <dc:description>Modelación Financiera y Prospectación</dc:description>
  <cp:lastModifiedBy>Werner Zitzmann</cp:lastModifiedBy>
  <dcterms:created xsi:type="dcterms:W3CDTF">2006-04-27T00:22:56Z</dcterms:created>
  <dcterms:modified xsi:type="dcterms:W3CDTF">2008-12-22T15:11:07Z</dcterms:modified>
</cp:coreProperties>
</file>